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date1904="1" showInkAnnotation="0" autoCompressPictures="0"/>
  <mc:AlternateContent xmlns:mc="http://schemas.openxmlformats.org/markup-compatibility/2006">
    <mc:Choice Requires="x15">
      <x15ac:absPath xmlns:x15ac="http://schemas.microsoft.com/office/spreadsheetml/2010/11/ac" url="/Volumes/oess-1/Programs/Dashboard/Sustainability Dashboard/GHG/"/>
    </mc:Choice>
  </mc:AlternateContent>
  <bookViews>
    <workbookView xWindow="8600" yWindow="1740" windowWidth="27160" windowHeight="20340" tabRatio="500"/>
  </bookViews>
  <sheets>
    <sheet name="All UW 1,2 &amp; 3" sheetId="9" r:id="rId1"/>
    <sheet name="Data Source" sheetId="10" r:id="rId2"/>
    <sheet name="Data" sheetId="11" r:id="rId3"/>
  </sheets>
  <externalReferences>
    <externalReference r:id="rId4"/>
    <externalReference r:id="rId5"/>
  </externalReferences>
  <definedNames>
    <definedName name="___pop05" localSheetId="0">#REF!</definedName>
    <definedName name="___pop05" localSheetId="2">#REF!</definedName>
    <definedName name="___pop05" localSheetId="1">#REF!</definedName>
    <definedName name="___pop05">#REF!</definedName>
    <definedName name="__pop05" localSheetId="2">[1]pop!$C$62</definedName>
    <definedName name="__pop05" localSheetId="1">[1]pop!$C$62</definedName>
    <definedName name="__pop05">[1]pop!$C$62</definedName>
    <definedName name="_pop05" localSheetId="2">[1]pop!$C$62</definedName>
    <definedName name="_pop05" localSheetId="1">[1]pop!$C$62</definedName>
    <definedName name="_pop05">[1]pop!$C$62</definedName>
    <definedName name="acreTOkm2" localSheetId="2">[1]units!$D$47</definedName>
    <definedName name="acreTOkm2" localSheetId="1">[1]units!$D$47</definedName>
    <definedName name="acreTOkm2">[1]units!$D$47</definedName>
    <definedName name="bblTOgal" localSheetId="2">[1]units!$D$68</definedName>
    <definedName name="bblTOgal" localSheetId="1">[1]units!$D$68</definedName>
    <definedName name="bblTOgal">[1]units!$D$68</definedName>
    <definedName name="bblTOL" localSheetId="2">[1]units!$D$69</definedName>
    <definedName name="bblTOL" localSheetId="1">[1]units!$D$69</definedName>
    <definedName name="bblTOL">[1]units!$D$69</definedName>
    <definedName name="Btu.lbTOmmBtu.ton" localSheetId="2">[1]units!$D$188</definedName>
    <definedName name="Btu.lbTOmmBtu.ton" localSheetId="1">[1]units!$D$188</definedName>
    <definedName name="Btu.lbTOmmBtu.ton">[1]units!$D$188</definedName>
    <definedName name="BtuTOJ" localSheetId="2">[1]units!$D$99</definedName>
    <definedName name="BtuTOJ" localSheetId="1">[1]units!$D$99</definedName>
    <definedName name="BtuTOJ">[1]units!$D$99</definedName>
    <definedName name="BtuTOkJ" localSheetId="2">[1]units!$D$100</definedName>
    <definedName name="BtuTOkJ" localSheetId="1">[1]units!$D$100</definedName>
    <definedName name="BtuTOkJ">[1]units!$D$100</definedName>
    <definedName name="BtuTOkWh" localSheetId="2">[1]units!$D$101</definedName>
    <definedName name="BtuTOkWh" localSheetId="1">[1]units!$D$101</definedName>
    <definedName name="BtuTOkWh">[1]units!$D$101</definedName>
    <definedName name="BtuTOMJ" localSheetId="2">[1]units!$D$102</definedName>
    <definedName name="BtuTOMJ" localSheetId="1">[1]units!$D$102</definedName>
    <definedName name="BtuTOMJ">[1]units!$D$102</definedName>
    <definedName name="CO2.C" localSheetId="2">[1]ref!$C$4</definedName>
    <definedName name="CO2.C" localSheetId="1">[1]ref!$C$4</definedName>
    <definedName name="CO2.C">[1]ref!$C$4</definedName>
    <definedName name="CO2distillate" localSheetId="0">[1]ref!#REF!</definedName>
    <definedName name="CO2distillate" localSheetId="2">[1]ref!#REF!</definedName>
    <definedName name="CO2distillate" localSheetId="1">[1]ref!#REF!</definedName>
    <definedName name="CO2distillate">[1]ref!#REF!</definedName>
    <definedName name="CO2gas" localSheetId="0">[1]ref!#REF!</definedName>
    <definedName name="CO2gas" localSheetId="2">[1]ref!#REF!</definedName>
    <definedName name="CO2gas" localSheetId="1">[1]ref!#REF!</definedName>
    <definedName name="CO2gas">[1]ref!#REF!</definedName>
    <definedName name="CO2gasoline" localSheetId="0">[1]ref!#REF!</definedName>
    <definedName name="CO2gasoline" localSheetId="2">[1]ref!#REF!</definedName>
    <definedName name="CO2gasoline" localSheetId="1">[1]ref!#REF!</definedName>
    <definedName name="CO2gasoline">[1]ref!#REF!</definedName>
    <definedName name="CO2perCH4" localSheetId="2">[1]ref!$C$5</definedName>
    <definedName name="CO2perCH4" localSheetId="1">[1]ref!$C$5</definedName>
    <definedName name="CO2perCH4">[1]ref!$C$5</definedName>
    <definedName name="CO2propane" localSheetId="0">[1]ref!#REF!</definedName>
    <definedName name="CO2propane" localSheetId="2">[1]ref!#REF!</definedName>
    <definedName name="CO2propane" localSheetId="1">[1]ref!#REF!</definedName>
    <definedName name="CO2propane">[1]ref!#REF!</definedName>
    <definedName name="CO3distillate" localSheetId="0">[1]ref!#REF!</definedName>
    <definedName name="CO3distillate" localSheetId="2">[1]ref!#REF!</definedName>
    <definedName name="CO3distillate" localSheetId="1">[1]ref!#REF!</definedName>
    <definedName name="CO3distillate">[1]ref!#REF!</definedName>
    <definedName name="convertC3H8" localSheetId="0">[1]ref!#REF!</definedName>
    <definedName name="convertC3H8" localSheetId="2">[1]ref!#REF!</definedName>
    <definedName name="convertC3H8" localSheetId="1">[1]ref!#REF!</definedName>
    <definedName name="convertC3H8">[1]ref!#REF!</definedName>
    <definedName name="convertCO" localSheetId="0">[1]ref!#REF!</definedName>
    <definedName name="convertCO" localSheetId="2">[1]ref!#REF!</definedName>
    <definedName name="convertCO" localSheetId="1">[1]ref!#REF!</definedName>
    <definedName name="convertCO">[1]ref!#REF!</definedName>
    <definedName name="convertNO2" localSheetId="0">[1]ref!#REF!</definedName>
    <definedName name="convertNO2" localSheetId="2">[1]ref!#REF!</definedName>
    <definedName name="convertNO2" localSheetId="1">[1]ref!#REF!</definedName>
    <definedName name="convertNO2">[1]ref!#REF!</definedName>
    <definedName name="convertSO2" localSheetId="0">[1]ref!#REF!</definedName>
    <definedName name="convertSO2" localSheetId="2">[1]ref!#REF!</definedName>
    <definedName name="convertSO2" localSheetId="1">[1]ref!#REF!</definedName>
    <definedName name="convertSO2">[1]ref!#REF!</definedName>
    <definedName name="Cpropane" localSheetId="0">[1]ref!#REF!</definedName>
    <definedName name="Cpropane" localSheetId="2">[1]ref!#REF!</definedName>
    <definedName name="Cpropane" localSheetId="1">[1]ref!#REF!</definedName>
    <definedName name="Cpropane">[1]ref!#REF!</definedName>
    <definedName name="dayTOmin" localSheetId="2">[1]units!$D$30</definedName>
    <definedName name="dayTOmin" localSheetId="1">[1]units!$D$30</definedName>
    <definedName name="dayTOmin">[1]units!$D$30</definedName>
    <definedName name="densityCH4" localSheetId="2">[1]ref!$C$42</definedName>
    <definedName name="densityCH4" localSheetId="1">[1]ref!$C$42</definedName>
    <definedName name="densityCH4">[1]ref!$C$42</definedName>
    <definedName name="densityH2O" localSheetId="0">[1]ref!#REF!</definedName>
    <definedName name="densityH2O" localSheetId="2">[1]ref!#REF!</definedName>
    <definedName name="densityH2O" localSheetId="1">[1]ref!#REF!</definedName>
    <definedName name="densityH2O">[1]ref!#REF!</definedName>
    <definedName name="efBus" localSheetId="2">[1]ef!$C$89</definedName>
    <definedName name="efBus" localSheetId="1">[1]ef!$C$89</definedName>
    <definedName name="efBus">[1]ef!$C$89</definedName>
    <definedName name="efClallam00" localSheetId="2">[1]ef!$C$190</definedName>
    <definedName name="efClallam00" localSheetId="1">[1]ef!$C$190</definedName>
    <definedName name="efClallam00">[1]ef!$C$190</definedName>
    <definedName name="efClallam05" localSheetId="2">[1]ef!$C$189</definedName>
    <definedName name="efClallam05" localSheetId="1">[1]ef!$C$189</definedName>
    <definedName name="efClallam05">[1]ef!$C$189</definedName>
    <definedName name="efCT" localSheetId="0">[1]ef!#REF!</definedName>
    <definedName name="efCT" localSheetId="2">[1]ef!#REF!</definedName>
    <definedName name="efCT" localSheetId="1">[1]ef!#REF!</definedName>
    <definedName name="efCT">[1]ef!#REF!</definedName>
    <definedName name="efCT00" localSheetId="0">'[2]Commuting ef'!#REF!</definedName>
    <definedName name="efCT00">'[2]Commuting ef'!#REF!</definedName>
    <definedName name="efCT05" localSheetId="2">[1]ef!$C$153</definedName>
    <definedName name="efCT05" localSheetId="1">[1]ef!$C$153</definedName>
    <definedName name="efCT05">[1]ef!$C$153</definedName>
    <definedName name="efdistillate" localSheetId="2">[1]ef!$C$29</definedName>
    <definedName name="efdistillate" localSheetId="1">[1]ef!$C$29</definedName>
    <definedName name="efdistillate">[1]ef!$C$29</definedName>
    <definedName name="efEatonville00" localSheetId="2">[1]ef!$C$187</definedName>
    <definedName name="efEatonville00" localSheetId="1">[1]ef!$C$187</definedName>
    <definedName name="efEatonville00">[1]ef!$C$187</definedName>
    <definedName name="efEatonville05" localSheetId="2">[1]ef!$C$186</definedName>
    <definedName name="efEatonville05" localSheetId="1">[1]ef!$C$186</definedName>
    <definedName name="efEatonville05">[1]ef!$C$186</definedName>
    <definedName name="efgas" localSheetId="2">[1]ef!$C$34</definedName>
    <definedName name="efgas" localSheetId="1">[1]ef!$C$34</definedName>
    <definedName name="efgas">[1]ef!$C$34</definedName>
    <definedName name="efgasoline00" localSheetId="2">[1]ef!$C$21</definedName>
    <definedName name="efgasoline00" localSheetId="1">[1]ef!$C$21</definedName>
    <definedName name="efgasoline00">[1]ef!$C$21</definedName>
    <definedName name="efgasoline05">'[2]Commuting ef'!$C$29</definedName>
    <definedName name="efgasoline06">'[2]Commuting ef'!$C$28</definedName>
    <definedName name="efgasoline07">'[2]Commuting ef'!$C$27</definedName>
    <definedName name="efgasoline08">'[2]Commuting ef'!$C$26</definedName>
    <definedName name="efgasoline09">'[2]Commuting ef'!$C$25</definedName>
    <definedName name="efgasoline10">'[2]Commuting ef'!$C$24</definedName>
    <definedName name="efgasoline90" localSheetId="2">[1]ef!$C$23</definedName>
    <definedName name="efgasoline90" localSheetId="1">[1]ef!$C$23</definedName>
    <definedName name="efgasoline90">[1]ef!$C$23</definedName>
    <definedName name="efgasoline95" localSheetId="2">[1]ef!$C$22</definedName>
    <definedName name="efgasoline95" localSheetId="1">[1]ef!$C$22</definedName>
    <definedName name="efgasoline95">[1]ef!$C$22</definedName>
    <definedName name="efjetfuel" localSheetId="2">[1]ef!$C$45</definedName>
    <definedName name="efjetfuel" localSheetId="1">[1]ef!$C$45</definedName>
    <definedName name="efjetfuel">[1]ef!$C$45</definedName>
    <definedName name="efLPG" localSheetId="2">[1]ef!$C$40</definedName>
    <definedName name="efLPG" localSheetId="1">[1]ef!$C$40</definedName>
    <definedName name="efLPG">[1]ef!$C$40</definedName>
    <definedName name="efMetro" localSheetId="0">[1]ef!#REF!</definedName>
    <definedName name="efMetro" localSheetId="2">[1]ef!#REF!</definedName>
    <definedName name="efMetro" localSheetId="1">[1]ef!#REF!</definedName>
    <definedName name="efMetro">[1]ef!#REF!</definedName>
    <definedName name="efMT00" localSheetId="2">[1]ef!$C$113</definedName>
    <definedName name="efMT00" localSheetId="1">[1]ef!$C$113</definedName>
    <definedName name="efMT00">[1]ef!$C$113</definedName>
    <definedName name="efMT05" localSheetId="2">[1]ef!$C$103</definedName>
    <definedName name="efMT05" localSheetId="1">[1]ef!$C$103</definedName>
    <definedName name="efMT05">[1]ef!$C$103</definedName>
    <definedName name="efMT95" localSheetId="2">[1]ef!$C$123</definedName>
    <definedName name="efMT95" localSheetId="1">[1]ef!$C$123</definedName>
    <definedName name="efMT95">[1]ef!$C$123</definedName>
    <definedName name="efMT96" localSheetId="0">'[2]Commuting ef'!#REF!</definedName>
    <definedName name="efMT96">'[2]Commuting ef'!#REF!</definedName>
    <definedName name="efOPALCO00" localSheetId="2">[1]ef!$C$184</definedName>
    <definedName name="efOPALCO00" localSheetId="1">[1]ef!$C$184</definedName>
    <definedName name="efOPALCO00">[1]ef!$C$184</definedName>
    <definedName name="efOPALCO05" localSheetId="2">[1]ef!$C$183</definedName>
    <definedName name="efOPALCO05" localSheetId="1">[1]ef!$C$183</definedName>
    <definedName name="efOPALCO05">[1]ef!$C$183</definedName>
    <definedName name="efPSE00" localSheetId="2">[1]ef!$C$181</definedName>
    <definedName name="efPSE00" localSheetId="1">[1]ef!$C$181</definedName>
    <definedName name="efPSE00">[1]ef!$C$181</definedName>
    <definedName name="efPSE05" localSheetId="2">[1]ef!$C$180</definedName>
    <definedName name="efPSE05" localSheetId="1">[1]ef!$C$180</definedName>
    <definedName name="efPSE05">[1]ef!$C$180</definedName>
    <definedName name="efSCL00" localSheetId="2">[1]ef!$C$173</definedName>
    <definedName name="efSCL00" localSheetId="1">[1]ef!$C$173</definedName>
    <definedName name="efSCL00">[1]ef!$C$173</definedName>
    <definedName name="efSCL05" localSheetId="2">[1]ef!$C$172</definedName>
    <definedName name="efSCL05" localSheetId="1">[1]ef!$C$172</definedName>
    <definedName name="efSCL05">[1]ef!$C$172</definedName>
    <definedName name="efSCL90" localSheetId="2">[1]ef!$C$175</definedName>
    <definedName name="efSCL90" localSheetId="1">[1]ef!$C$175</definedName>
    <definedName name="efSCL90">[1]ef!$C$175</definedName>
    <definedName name="efSCL95" localSheetId="2">[1]ef!$C$174</definedName>
    <definedName name="efSCL95" localSheetId="1">[1]ef!$C$174</definedName>
    <definedName name="efSCL95">[1]ef!$C$174</definedName>
    <definedName name="efSeattleSteam00" localSheetId="2">[1]ef!$C$196</definedName>
    <definedName name="efSeattleSteam00" localSheetId="1">[1]ef!$C$196</definedName>
    <definedName name="efSeattleSteam00">[1]ef!$C$196</definedName>
    <definedName name="efSeattleSteam05" localSheetId="2">[1]ef!$C$195</definedName>
    <definedName name="efSeattleSteam05" localSheetId="1">[1]ef!$C$195</definedName>
    <definedName name="efSeattleSteam05">[1]ef!$C$195</definedName>
    <definedName name="efSOV00" localSheetId="2">[1]ef!$C$55</definedName>
    <definedName name="efSOV00" localSheetId="1">[1]ef!$C$55</definedName>
    <definedName name="efSOV00">[1]ef!$C$55</definedName>
    <definedName name="efSOV05" localSheetId="2">[1]ef!$C$54</definedName>
    <definedName name="efSOV05" localSheetId="1">[1]ef!$C$54</definedName>
    <definedName name="efSOV05">[1]ef!$C$54</definedName>
    <definedName name="efSOV90" localSheetId="2">[1]ef!$C$57</definedName>
    <definedName name="efSOV90" localSheetId="1">[1]ef!$C$57</definedName>
    <definedName name="efSOV90">[1]ef!$C$57</definedName>
    <definedName name="efSOV95" localSheetId="2">[1]ef!$C$56</definedName>
    <definedName name="efSOV95" localSheetId="1">[1]ef!$C$56</definedName>
    <definedName name="efSOV95">[1]ef!$C$56</definedName>
    <definedName name="efST" localSheetId="0">[1]ef!#REF!</definedName>
    <definedName name="efST" localSheetId="2">[1]ef!#REF!</definedName>
    <definedName name="efST" localSheetId="1">[1]ef!#REF!</definedName>
    <definedName name="efST">[1]ef!#REF!</definedName>
    <definedName name="efST00" localSheetId="0">'[2]Commuting ef'!#REF!</definedName>
    <definedName name="efST00">'[2]Commuting ef'!#REF!</definedName>
    <definedName name="efST05">'[2]Commuting ef'!$C$176</definedName>
    <definedName name="efTacomaPower00" localSheetId="2">[1]ef!$C$178</definedName>
    <definedName name="efTacomaPower00" localSheetId="1">[1]ef!$C$178</definedName>
    <definedName name="efTacomaPower00">[1]ef!$C$178</definedName>
    <definedName name="efTacomaPower05" localSheetId="2">[1]ef!$C$177</definedName>
    <definedName name="efTacomaPower05" localSheetId="1">[1]ef!$C$177</definedName>
    <definedName name="efTacomaPower05">[1]ef!$C$177</definedName>
    <definedName name="efVan00" localSheetId="0">'[2]Commuting ef'!#REF!</definedName>
    <definedName name="efVan00">'[2]Commuting ef'!#REF!</definedName>
    <definedName name="efVan05" localSheetId="2">[1]ef!$C$64</definedName>
    <definedName name="efVan05" localSheetId="1">[1]ef!$C$64</definedName>
    <definedName name="efVan05">[1]ef!$C$64</definedName>
    <definedName name="efVan90" localSheetId="0">'[2]Commuting ef'!#REF!</definedName>
    <definedName name="efVan90">'[2]Commuting ef'!#REF!</definedName>
    <definedName name="efVan95" localSheetId="0">'[2]Commuting ef'!#REF!</definedName>
    <definedName name="efVan95">'[2]Commuting ef'!#REF!</definedName>
    <definedName name="F.C" localSheetId="2">[1]ref!$C$11</definedName>
    <definedName name="F.C" localSheetId="1">[1]ref!$C$11</definedName>
    <definedName name="F.C">[1]ref!$C$11</definedName>
    <definedName name="freezeF" localSheetId="2">[1]ref!$C$12</definedName>
    <definedName name="freezeF" localSheetId="1">[1]ref!$C$12</definedName>
    <definedName name="freezeF">[1]ref!$C$12</definedName>
    <definedName name="ft3TOL" localSheetId="2">[1]units!$D$71</definedName>
    <definedName name="ft3TOL" localSheetId="1">[1]units!$D$71</definedName>
    <definedName name="ft3TOL">[1]units!$D$71</definedName>
    <definedName name="ft3TOm3" localSheetId="2">[1]units!$D$72</definedName>
    <definedName name="ft3TOm3" localSheetId="1">[1]units!$D$72</definedName>
    <definedName name="ft3TOm3">[1]units!$D$72</definedName>
    <definedName name="gallonsTOL">'[2]Commuting ef'!$C$52</definedName>
    <definedName name="galTOL" localSheetId="2">[1]units!$D$76</definedName>
    <definedName name="galTOL" localSheetId="1">[1]units!$D$76</definedName>
    <definedName name="galTOL">[1]units!$D$76</definedName>
    <definedName name="galTOliter" localSheetId="2">[1]units!$D$76</definedName>
    <definedName name="galTOliter" localSheetId="1">[1]units!$D$76</definedName>
    <definedName name="galTOliter">[1]units!$D$76</definedName>
    <definedName name="gasconstant" localSheetId="2">[1]ref!$C$32</definedName>
    <definedName name="gasconstant" localSheetId="1">[1]ref!$C$32</definedName>
    <definedName name="gasconstant">[1]ref!$C$32</definedName>
    <definedName name="ggeTOMJ" localSheetId="2">[1]units!$D$107</definedName>
    <definedName name="ggeTOMJ" localSheetId="1">[1]units!$D$107</definedName>
    <definedName name="ggeTOMJ">[1]units!$D$107</definedName>
    <definedName name="GJ.hrTOMW" localSheetId="2">[1]units!$D$146</definedName>
    <definedName name="GJ.hrTOMW" localSheetId="1">[1]units!$D$146</definedName>
    <definedName name="GJ.hrTOMW">[1]units!$D$146</definedName>
    <definedName name="GJTOmmBtu" localSheetId="2">[1]units!$D$109</definedName>
    <definedName name="GJTOmmBtu" localSheetId="1">[1]units!$D$109</definedName>
    <definedName name="GJTOmmBtu">[1]units!$D$109</definedName>
    <definedName name="GJTOtherm" localSheetId="2">[1]units!$D$110</definedName>
    <definedName name="GJTOtherm" localSheetId="1">[1]units!$D$110</definedName>
    <definedName name="GJTOtherm">[1]units!$D$110</definedName>
    <definedName name="GWPCH4" localSheetId="2">[1]ref!$C$66</definedName>
    <definedName name="GWPCH4" localSheetId="1">[1]ref!$C$66</definedName>
    <definedName name="GWPCH4">[1]ref!$C$66</definedName>
    <definedName name="GWPHFC134a" localSheetId="2">[1]ref!$C$71</definedName>
    <definedName name="GWPHFC134a" localSheetId="1">[1]ref!$C$71</definedName>
    <definedName name="GWPHFC134a">[1]ref!$C$71</definedName>
    <definedName name="GWPN2O" localSheetId="2">[1]ref!$C$67</definedName>
    <definedName name="GWPN2O" localSheetId="1">[1]ref!$C$67</definedName>
    <definedName name="GWPN2O">[1]ref!$C$67</definedName>
    <definedName name="GWPSF6" localSheetId="2">[1]ref!$C$80</definedName>
    <definedName name="GWPSF6" localSheetId="1">[1]ref!$C$80</definedName>
    <definedName name="GWPSF6">[1]ref!$C$80</definedName>
    <definedName name="haTOacre" localSheetId="2">[1]units!$D$52</definedName>
    <definedName name="haTOacre" localSheetId="1">[1]units!$D$52</definedName>
    <definedName name="haTOacre">[1]units!$D$52</definedName>
    <definedName name="HHVdistillate" localSheetId="2">[1]ef!$C$26</definedName>
    <definedName name="HHVdistillate" localSheetId="1">[1]ef!$C$26</definedName>
    <definedName name="HHVdistillate">[1]ef!$C$26</definedName>
    <definedName name="HHVgas" localSheetId="2">[1]ef!$C$31</definedName>
    <definedName name="HHVgas" localSheetId="1">[1]ef!$C$31</definedName>
    <definedName name="HHVgas">[1]ef!$C$31</definedName>
    <definedName name="HHVjetfuel" localSheetId="0">'[2]Commuting ef'!#REF!</definedName>
    <definedName name="HHVjetfuel">'[2]Commuting ef'!#REF!</definedName>
    <definedName name="HHVLPG" localSheetId="2">[1]ef!$C$37</definedName>
    <definedName name="HHVLPG" localSheetId="1">[1]ef!$C$37</definedName>
    <definedName name="HHVLPG">[1]ef!$C$37</definedName>
    <definedName name="hrTOyr" localSheetId="2">[1]units!$D$34</definedName>
    <definedName name="hrTOyr" localSheetId="1">[1]units!$D$34</definedName>
    <definedName name="hrTOyr">[1]units!$D$34</definedName>
    <definedName name="ISO5024moles" localSheetId="0">[1]ref!#REF!</definedName>
    <definedName name="ISO5024moles" localSheetId="2">[1]ref!#REF!</definedName>
    <definedName name="ISO5024moles" localSheetId="1">[1]ref!#REF!</definedName>
    <definedName name="ISO5024moles">[1]ref!#REF!</definedName>
    <definedName name="K0degC" localSheetId="2">[1]ref!$C$33</definedName>
    <definedName name="K0degC" localSheetId="1">[1]ref!$C$33</definedName>
    <definedName name="K0degC">[1]ref!$C$33</definedName>
    <definedName name="K15degC" localSheetId="2">[1]ref!$C$34</definedName>
    <definedName name="K15degC" localSheetId="1">[1]ref!$C$34</definedName>
    <definedName name="K15degC">[1]ref!$C$34</definedName>
    <definedName name="K60degF" localSheetId="2">[1]ref!$C$35</definedName>
    <definedName name="K60degF" localSheetId="1">[1]ref!$C$35</definedName>
    <definedName name="K60degF">[1]ref!$C$35</definedName>
    <definedName name="kJTOBtu" localSheetId="2">[1]units!$D$115</definedName>
    <definedName name="kJTOBtu" localSheetId="1">[1]units!$D$115</definedName>
    <definedName name="kJTOBtu">[1]units!$D$115</definedName>
    <definedName name="kmTOmi" localSheetId="2">[1]units!$D$10</definedName>
    <definedName name="kmTOmi" localSheetId="1">[1]units!$D$10</definedName>
    <definedName name="kmTOmi">[1]units!$D$10</definedName>
    <definedName name="kWhTOMJ" localSheetId="2">[1]units!$D$117</definedName>
    <definedName name="kWhTOMJ" localSheetId="1">[1]units!$D$117</definedName>
    <definedName name="kWhTOMJ">[1]units!$D$117</definedName>
    <definedName name="L.sTOgpm" localSheetId="2">[1]units!$D$160</definedName>
    <definedName name="L.sTOgpm" localSheetId="1">[1]units!$D$160</definedName>
    <definedName name="L.sTOgpm">[1]units!$D$160</definedName>
    <definedName name="lbTOkg" localSheetId="2">[1]units!$D$19</definedName>
    <definedName name="lbTOkg" localSheetId="1">[1]units!$D$19</definedName>
    <definedName name="lbTOkg">[1]units!$D$19</definedName>
    <definedName name="lbTOoz" localSheetId="2">[1]units!$D$23</definedName>
    <definedName name="lbTOoz" localSheetId="1">[1]units!$D$23</definedName>
    <definedName name="lbTOoz">[1]units!$D$23</definedName>
    <definedName name="LTOm3" localSheetId="2">[1]units!$D$80</definedName>
    <definedName name="LTOm3" localSheetId="1">[1]units!$D$80</definedName>
    <definedName name="LTOm3">[1]units!$D$80</definedName>
    <definedName name="massC" localSheetId="2">[1]ref!$C$16</definedName>
    <definedName name="massC" localSheetId="1">[1]ref!$C$16</definedName>
    <definedName name="massC">[1]ref!$C$16</definedName>
    <definedName name="massCH4" localSheetId="2">[1]ref!$C$24</definedName>
    <definedName name="massCH4" localSheetId="1">[1]ref!$C$24</definedName>
    <definedName name="massCH4">[1]ref!$C$24</definedName>
    <definedName name="massCO2" localSheetId="2">[1]ref!$C$26</definedName>
    <definedName name="massCO2" localSheetId="1">[1]ref!$C$26</definedName>
    <definedName name="massCO2">[1]ref!$C$26</definedName>
    <definedName name="massH" localSheetId="2">[1]ref!$C$17</definedName>
    <definedName name="massH" localSheetId="1">[1]ref!$C$17</definedName>
    <definedName name="massH">[1]ref!$C$17</definedName>
    <definedName name="massN" localSheetId="2">[1]ref!$C$18</definedName>
    <definedName name="massN" localSheetId="1">[1]ref!$C$18</definedName>
    <definedName name="massN">[1]ref!$C$18</definedName>
    <definedName name="massO" localSheetId="2">[1]ref!$C$19</definedName>
    <definedName name="massO" localSheetId="1">[1]ref!$C$19</definedName>
    <definedName name="massO">[1]ref!$C$19</definedName>
    <definedName name="massS" localSheetId="2">[1]ref!$C$20</definedName>
    <definedName name="massS" localSheetId="1">[1]ref!$C$20</definedName>
    <definedName name="massS">[1]ref!$C$20</definedName>
    <definedName name="MgTOton" localSheetId="2">[1]units!$D$22</definedName>
    <definedName name="MgTOton" localSheetId="1">[1]units!$D$22</definedName>
    <definedName name="MgTOton">[1]units!$D$22</definedName>
    <definedName name="milesTOkm">'[2]Commuting ef'!$C$51</definedName>
    <definedName name="miTOkm" localSheetId="2">[1]units!$D$11</definedName>
    <definedName name="miTOkm" localSheetId="1">[1]units!$D$11</definedName>
    <definedName name="miTOkm">[1]units!$D$11</definedName>
    <definedName name="MJ.kgTOBtu.lb" localSheetId="2">[1]units!$D$190</definedName>
    <definedName name="MJ.kgTOBtu.lb" localSheetId="1">[1]units!$D$190</definedName>
    <definedName name="MJ.kgTOBtu.lb">[1]units!$D$190</definedName>
    <definedName name="MJTOkWh" localSheetId="2">[1]units!$D$119</definedName>
    <definedName name="MJTOkWh" localSheetId="1">[1]units!$D$119</definedName>
    <definedName name="MJTOkWh">[1]units!$D$119</definedName>
    <definedName name="MJTOtherm" localSheetId="2">[1]units!$D$122</definedName>
    <definedName name="MJTOtherm" localSheetId="1">[1]units!$D$122</definedName>
    <definedName name="MJTOtherm">[1]units!$D$122</definedName>
    <definedName name="mmBtuTOMJ" localSheetId="2">[1]units!$D$123</definedName>
    <definedName name="mmBtuTOMJ" localSheetId="1">[1]units!$D$123</definedName>
    <definedName name="mmBtuTOMJ">[1]units!$D$123</definedName>
    <definedName name="mmBtuTOtherm" localSheetId="2">[1]units!$D$125</definedName>
    <definedName name="mmBtuTOtherm" localSheetId="1">[1]units!$D$125</definedName>
    <definedName name="mmBtuTOtherm">[1]units!$D$125</definedName>
    <definedName name="mol.SCF" localSheetId="0">[1]ref!#REF!</definedName>
    <definedName name="mol.SCF" localSheetId="2">[1]ref!#REF!</definedName>
    <definedName name="mol.SCF" localSheetId="1">[1]ref!#REF!</definedName>
    <definedName name="mol.SCF">[1]ref!#REF!</definedName>
    <definedName name="molVol15degC" localSheetId="2">[1]ref!$C$37</definedName>
    <definedName name="molVol15degC" localSheetId="1">[1]ref!$C$37</definedName>
    <definedName name="molVol15degC">[1]ref!$C$37</definedName>
    <definedName name="molVol60degF" localSheetId="2">[1]ref!$C$38</definedName>
    <definedName name="molVol60degF" localSheetId="1">[1]ref!$C$38</definedName>
    <definedName name="molVol60degF">[1]ref!$C$38</definedName>
    <definedName name="MWhTOGJ" localSheetId="2">[1]units!$D$130</definedName>
    <definedName name="MWhTOGJ" localSheetId="1">[1]units!$D$130</definedName>
    <definedName name="MWhTOGJ">[1]units!$D$130</definedName>
    <definedName name="MWhTOTJ" localSheetId="2">[1]units!$D$132</definedName>
    <definedName name="MWhTOTJ" localSheetId="1">[1]units!$D$132</definedName>
    <definedName name="MWhTOTJ">[1]units!$D$132</definedName>
    <definedName name="None" localSheetId="0">[1]ref!#REF!</definedName>
    <definedName name="None" localSheetId="2">[1]ref!#REF!</definedName>
    <definedName name="None" localSheetId="1">[1]ref!#REF!</definedName>
    <definedName name="None">[1]ref!#REF!</definedName>
    <definedName name="None2" localSheetId="0">[1]ref!#REF!</definedName>
    <definedName name="None2" localSheetId="2">[1]ref!#REF!</definedName>
    <definedName name="None2" localSheetId="1">[1]ref!#REF!</definedName>
    <definedName name="None2">[1]ref!#REF!</definedName>
    <definedName name="None3" localSheetId="0">[1]ref!#REF!</definedName>
    <definedName name="None3" localSheetId="2">[1]ref!#REF!</definedName>
    <definedName name="None3" localSheetId="1">[1]ref!#REF!</definedName>
    <definedName name="None3">[1]ref!#REF!</definedName>
    <definedName name="ozTOkg" localSheetId="2">[1]units!$D$24</definedName>
    <definedName name="ozTOkg" localSheetId="1">[1]units!$D$24</definedName>
    <definedName name="ozTOkg">[1]units!$D$24</definedName>
    <definedName name="pop00" localSheetId="2">[1]pop!$C$111</definedName>
    <definedName name="pop00" localSheetId="1">[1]pop!$C$111</definedName>
    <definedName name="pop00">[1]pop!$C$111</definedName>
    <definedName name="pop00.05" localSheetId="2">[1]pop!$C$114</definedName>
    <definedName name="pop00.05" localSheetId="1">[1]pop!$C$114</definedName>
    <definedName name="pop00.05">[1]pop!$C$114</definedName>
    <definedName name="popBot00" localSheetId="2">[1]pop!$C$109</definedName>
    <definedName name="popBot00" localSheetId="1">[1]pop!$C$109</definedName>
    <definedName name="popBot00">[1]pop!$C$109</definedName>
    <definedName name="popBot05" localSheetId="2">[1]pop!$C$60</definedName>
    <definedName name="popBot05" localSheetId="1">[1]pop!$C$60</definedName>
    <definedName name="popBot05">[1]pop!$C$60</definedName>
    <definedName name="popFac00" localSheetId="2">[1]pop!$C$95</definedName>
    <definedName name="popFac00" localSheetId="1">[1]pop!$C$95</definedName>
    <definedName name="popFac00">[1]pop!$C$95</definedName>
    <definedName name="popFac00.05" localSheetId="2">[1]pop!$C$116</definedName>
    <definedName name="popFac00.05" localSheetId="1">[1]pop!$C$116</definedName>
    <definedName name="popFac00.05">[1]pop!$C$116</definedName>
    <definedName name="popFac05" localSheetId="2">[1]pop!$C$46</definedName>
    <definedName name="popFac05" localSheetId="1">[1]pop!$C$46</definedName>
    <definedName name="popFac05">[1]pop!$C$46</definedName>
    <definedName name="popFacBot00" localSheetId="2">[1]pop!$C$91</definedName>
    <definedName name="popFacBot00" localSheetId="1">[1]pop!$C$91</definedName>
    <definedName name="popFacBot00">[1]pop!$C$91</definedName>
    <definedName name="popFacBot05" localSheetId="2">[1]pop!$C$42</definedName>
    <definedName name="popFacBot05" localSheetId="1">[1]pop!$C$42</definedName>
    <definedName name="popFacBot05">[1]pop!$C$42</definedName>
    <definedName name="popFacOth00" localSheetId="2">[1]pop!$C$94</definedName>
    <definedName name="popFacOth00" localSheetId="1">[1]pop!$C$94</definedName>
    <definedName name="popFacOth00">[1]pop!$C$94</definedName>
    <definedName name="popFacOth05" localSheetId="2">[1]pop!$C$45</definedName>
    <definedName name="popFacOth05" localSheetId="1">[1]pop!$C$45</definedName>
    <definedName name="popFacOth05">[1]pop!$C$45</definedName>
    <definedName name="popFacSea00" localSheetId="2">[1]pop!$C$87</definedName>
    <definedName name="popFacSea00" localSheetId="1">[1]pop!$C$87</definedName>
    <definedName name="popFacSea00">[1]pop!$C$87</definedName>
    <definedName name="popFacSea05" localSheetId="2">[1]pop!$C$38</definedName>
    <definedName name="popFacSea05" localSheetId="1">[1]pop!$C$38</definedName>
    <definedName name="popFacSea05">[1]pop!$C$38</definedName>
    <definedName name="popFacTac00" localSheetId="2">[1]pop!$C$88</definedName>
    <definedName name="popFacTac00" localSheetId="1">[1]pop!$C$88</definedName>
    <definedName name="popFacTac00">[1]pop!$C$88</definedName>
    <definedName name="popFacTac05" localSheetId="2">[1]pop!$C$39</definedName>
    <definedName name="popFacTac05" localSheetId="1">[1]pop!$C$39</definedName>
    <definedName name="popFacTac05">[1]pop!$C$39</definedName>
    <definedName name="popFaculty00" localSheetId="0">[1]ref!#REF!</definedName>
    <definedName name="popFaculty00" localSheetId="2">[1]ref!#REF!</definedName>
    <definedName name="popFaculty00" localSheetId="1">[1]ref!#REF!</definedName>
    <definedName name="popFaculty00">[1]ref!#REF!</definedName>
    <definedName name="popFaculty05" localSheetId="0">[1]ref!#REF!</definedName>
    <definedName name="popFaculty05" localSheetId="2">[1]ref!#REF!</definedName>
    <definedName name="popFaculty05" localSheetId="1">[1]ref!#REF!</definedName>
    <definedName name="popFaculty05">[1]ref!#REF!</definedName>
    <definedName name="popOth00" localSheetId="2">[1]pop!$C$110</definedName>
    <definedName name="popOth00" localSheetId="1">[1]pop!$C$110</definedName>
    <definedName name="popOth00">[1]pop!$C$110</definedName>
    <definedName name="popOth05" localSheetId="2">[1]pop!$C$61</definedName>
    <definedName name="popOth05" localSheetId="1">[1]pop!$C$61</definedName>
    <definedName name="popOth05">[1]pop!$C$61</definedName>
    <definedName name="popSea00" localSheetId="2">[1]pop!$C$107</definedName>
    <definedName name="popSea00" localSheetId="1">[1]pop!$C$107</definedName>
    <definedName name="popSea00">[1]pop!$C$107</definedName>
    <definedName name="popSea05" localSheetId="2">[1]pop!$C$58</definedName>
    <definedName name="popSea05" localSheetId="1">[1]pop!$C$58</definedName>
    <definedName name="popSea05">[1]pop!$C$58</definedName>
    <definedName name="popSSt00" localSheetId="0">#REF!</definedName>
    <definedName name="popSSt00">#REF!</definedName>
    <definedName name="popSSt05" localSheetId="0">#REF!</definedName>
    <definedName name="popSSt05">#REF!</definedName>
    <definedName name="popSStBot00" localSheetId="0">#REF!</definedName>
    <definedName name="popSStBot00">#REF!</definedName>
    <definedName name="popSStBot05" localSheetId="0">#REF!</definedName>
    <definedName name="popSStBot05">#REF!</definedName>
    <definedName name="popSStSea00" localSheetId="2">[1]pop!$C$81</definedName>
    <definedName name="popSStSea00" localSheetId="1">[1]pop!$C$81</definedName>
    <definedName name="popSStSea00">[1]pop!$C$81</definedName>
    <definedName name="popSStSea05" localSheetId="2">[1]pop!$C$32</definedName>
    <definedName name="popSStSea05" localSheetId="1">[1]pop!$C$32</definedName>
    <definedName name="popSStSea05">[1]pop!$C$32</definedName>
    <definedName name="popSStTac00" localSheetId="0">#REF!</definedName>
    <definedName name="popSStTac00">#REF!</definedName>
    <definedName name="popSStTac05" localSheetId="0">#REF!</definedName>
    <definedName name="popSStTac05">#REF!</definedName>
    <definedName name="popStaff00" localSheetId="0">[1]ref!#REF!</definedName>
    <definedName name="popStaff00" localSheetId="2">[1]ref!#REF!</definedName>
    <definedName name="popStaff00" localSheetId="1">[1]ref!#REF!</definedName>
    <definedName name="popStaff00">[1]ref!#REF!</definedName>
    <definedName name="popStaff05" localSheetId="0">[1]ref!#REF!</definedName>
    <definedName name="popStaff05" localSheetId="2">[1]ref!#REF!</definedName>
    <definedName name="popStaff05" localSheetId="1">[1]ref!#REF!</definedName>
    <definedName name="popStaff05">[1]ref!#REF!</definedName>
    <definedName name="popStf00" localSheetId="2">[1]pop!$C$105</definedName>
    <definedName name="popStf00" localSheetId="1">[1]pop!$C$105</definedName>
    <definedName name="popStf00">[1]pop!$C$105</definedName>
    <definedName name="popStf00.05" localSheetId="0">#REF!</definedName>
    <definedName name="popStf00.05">#REF!</definedName>
    <definedName name="popStf05" localSheetId="2">[1]pop!$C$56</definedName>
    <definedName name="popStf05" localSheetId="1">[1]pop!$C$56</definedName>
    <definedName name="popStf05">[1]pop!$C$56</definedName>
    <definedName name="popStfBot00" localSheetId="2">[1]pop!$C$101</definedName>
    <definedName name="popStfBot00" localSheetId="1">[1]pop!$C$101</definedName>
    <definedName name="popStfBot00">[1]pop!$C$101</definedName>
    <definedName name="popStfBot05" localSheetId="2">[1]pop!$C$52</definedName>
    <definedName name="popStfBot05" localSheetId="1">[1]pop!$C$52</definedName>
    <definedName name="popStfBot05">[1]pop!$C$52</definedName>
    <definedName name="popStfOth00" localSheetId="2">[1]pop!$C$104</definedName>
    <definedName name="popStfOth00" localSheetId="1">[1]pop!$C$104</definedName>
    <definedName name="popStfOth00">[1]pop!$C$104</definedName>
    <definedName name="popStfOth05" localSheetId="2">[1]pop!$C$55</definedName>
    <definedName name="popStfOth05" localSheetId="1">[1]pop!$C$55</definedName>
    <definedName name="popStfOth05">[1]pop!$C$55</definedName>
    <definedName name="popStfSea00" localSheetId="2">[1]pop!$C$97</definedName>
    <definedName name="popStfSea00" localSheetId="1">[1]pop!$C$97</definedName>
    <definedName name="popStfSea00">[1]pop!$C$97</definedName>
    <definedName name="popStfSea05" localSheetId="2">[1]pop!$C$48</definedName>
    <definedName name="popStfSea05" localSheetId="1">[1]pop!$C$48</definedName>
    <definedName name="popStfSea05">[1]pop!$C$48</definedName>
    <definedName name="popStfTac00" localSheetId="2">[1]pop!$C$98</definedName>
    <definedName name="popStfTac00" localSheetId="1">[1]pop!$C$98</definedName>
    <definedName name="popStfTac00">[1]pop!$C$98</definedName>
    <definedName name="popStfTac05" localSheetId="2">[1]pop!$C$49</definedName>
    <definedName name="popStfTac05" localSheetId="1">[1]pop!$C$49</definedName>
    <definedName name="popStfTac05">[1]pop!$C$49</definedName>
    <definedName name="popStu00" localSheetId="2">[1]pop!$C$79</definedName>
    <definedName name="popStu00" localSheetId="1">[1]pop!$C$79</definedName>
    <definedName name="popStu00">[1]pop!$C$79</definedName>
    <definedName name="popStu00.05" localSheetId="0">#REF!</definedName>
    <definedName name="popStu00.05">#REF!</definedName>
    <definedName name="popStu05" localSheetId="2">[1]pop!$C$30</definedName>
    <definedName name="popStu05" localSheetId="1">[1]pop!$C$30</definedName>
    <definedName name="popStu05">[1]pop!$C$30</definedName>
    <definedName name="popStuBot00" localSheetId="2">[1]pop!$C$74</definedName>
    <definedName name="popStuBot00" localSheetId="1">[1]pop!$C$74</definedName>
    <definedName name="popStuBot00">[1]pop!$C$74</definedName>
    <definedName name="popStuBot05" localSheetId="2">[1]pop!$C$25</definedName>
    <definedName name="popStuBot05" localSheetId="1">[1]pop!$C$25</definedName>
    <definedName name="popStuBot05">[1]pop!$C$25</definedName>
    <definedName name="popStudent00" localSheetId="0">[1]ref!#REF!</definedName>
    <definedName name="popStudent00" localSheetId="2">[1]ref!#REF!</definedName>
    <definedName name="popStudent00" localSheetId="1">[1]ref!#REF!</definedName>
    <definedName name="popStudent00">[1]ref!#REF!</definedName>
    <definedName name="popStudent05" localSheetId="0">[1]ref!#REF!</definedName>
    <definedName name="popStudent05" localSheetId="2">[1]ref!#REF!</definedName>
    <definedName name="popStudent05" localSheetId="1">[1]ref!#REF!</definedName>
    <definedName name="popStudent05">[1]ref!#REF!</definedName>
    <definedName name="popStuOth00" localSheetId="2">[1]pop!$C$78</definedName>
    <definedName name="popStuOth00" localSheetId="1">[1]pop!$C$78</definedName>
    <definedName name="popStuOth00">[1]pop!$C$78</definedName>
    <definedName name="popStuOth05" localSheetId="2">[1]pop!$C$29</definedName>
    <definedName name="popStuOth05" localSheetId="1">[1]pop!$C$29</definedName>
    <definedName name="popStuOth05">[1]pop!$C$29</definedName>
    <definedName name="popStuSea00" localSheetId="2">[1]pop!$C$66</definedName>
    <definedName name="popStuSea00" localSheetId="1">[1]pop!$C$66</definedName>
    <definedName name="popStuSea00">[1]pop!$C$66</definedName>
    <definedName name="popStuSea05" localSheetId="2">[1]pop!$C$17</definedName>
    <definedName name="popStuSea05" localSheetId="1">[1]pop!$C$17</definedName>
    <definedName name="popStuSea05">[1]pop!$C$17</definedName>
    <definedName name="popStuTac00" localSheetId="2">[1]pop!$C$70</definedName>
    <definedName name="popStuTac00" localSheetId="1">[1]pop!$C$70</definedName>
    <definedName name="popStuTac00">[1]pop!$C$70</definedName>
    <definedName name="popStuTac05" localSheetId="2">[1]pop!$C$21</definedName>
    <definedName name="popStuTac05" localSheetId="1">[1]pop!$C$21</definedName>
    <definedName name="popStuTac05">[1]pop!$C$21</definedName>
    <definedName name="popSummerStudent00" localSheetId="0">[1]ref!#REF!</definedName>
    <definedName name="popSummerStudent00" localSheetId="2">[1]ref!#REF!</definedName>
    <definedName name="popSummerStudent00" localSheetId="1">[1]ref!#REF!</definedName>
    <definedName name="popSummerStudent00">[1]ref!#REF!</definedName>
    <definedName name="popSummerStudent05" localSheetId="0">[1]ref!#REF!</definedName>
    <definedName name="popSummerStudent05" localSheetId="2">[1]ref!#REF!</definedName>
    <definedName name="popSummerStudent05" localSheetId="1">[1]ref!#REF!</definedName>
    <definedName name="popSummerStudent05">[1]ref!#REF!</definedName>
    <definedName name="popTac00" localSheetId="2">[1]pop!$C$108</definedName>
    <definedName name="popTac00" localSheetId="1">[1]pop!$C$108</definedName>
    <definedName name="popTac00">[1]pop!$C$108</definedName>
    <definedName name="popTac05" localSheetId="2">[1]pop!$C$59</definedName>
    <definedName name="popTac05" localSheetId="1">[1]pop!$C$59</definedName>
    <definedName name="popTac05">[1]pop!$C$59</definedName>
    <definedName name="quadTOEJ" localSheetId="2">[1]units!$D$133</definedName>
    <definedName name="quadTOEJ" localSheetId="1">[1]units!$D$133</definedName>
    <definedName name="quadTOEJ">[1]units!$D$133</definedName>
    <definedName name="quadTOTWh" localSheetId="2">[1]units!$D$134</definedName>
    <definedName name="quadTOTWh" localSheetId="1">[1]units!$D$134</definedName>
    <definedName name="quadTOTWh">[1]units!$D$134</definedName>
    <definedName name="thermTOBtu" localSheetId="2">[1]units!$D$135</definedName>
    <definedName name="thermTOBtu" localSheetId="1">[1]units!$D$135</definedName>
    <definedName name="thermTOBtu">[1]units!$D$135</definedName>
    <definedName name="thermTOMJ" localSheetId="2">[1]units!$D$138</definedName>
    <definedName name="thermTOMJ" localSheetId="1">[1]units!$D$138</definedName>
    <definedName name="thermTOMJ">[1]units!$D$138</definedName>
    <definedName name="thermTOTJ" localSheetId="2">[1]units!$D$139</definedName>
    <definedName name="thermTOTJ" localSheetId="1">[1]units!$D$139</definedName>
    <definedName name="thermTOTJ">[1]units!$D$139</definedName>
    <definedName name="tonTOMg" localSheetId="2">[1]units!$D$27</definedName>
    <definedName name="tonTOMg" localSheetId="1">[1]units!$D$27</definedName>
    <definedName name="tonTOMg">[1]units!$D$27</definedName>
    <definedName name="TWhTOEJ" localSheetId="2">[1]units!$D$140</definedName>
    <definedName name="TWhTOEJ" localSheetId="1">[1]units!$D$140</definedName>
    <definedName name="TWhTOEJ">[1]units!$D$140</definedName>
    <definedName name="WhTOJ" localSheetId="2">[1]units!$D$143</definedName>
    <definedName name="WhTOJ" localSheetId="1">[1]units!$D$143</definedName>
    <definedName name="WhTOJ">[1]units!$D$143</definedName>
    <definedName name="yd3TOm3" localSheetId="2">[1]units!$D$85</definedName>
    <definedName name="yd3TOm3" localSheetId="1">[1]units!$D$85</definedName>
    <definedName name="yd3TOm3">[1]units!$D$85</definedName>
    <definedName name="yrTOday" localSheetId="2">[1]units!$D$40</definedName>
    <definedName name="yrTOday" localSheetId="1">[1]units!$D$40</definedName>
    <definedName name="yrTOday">[1]units!$D$40</definedName>
    <definedName name="yrTOmo" localSheetId="2">[1]units!$D$42</definedName>
    <definedName name="yrTOmo" localSheetId="1">[1]units!$D$42</definedName>
    <definedName name="yrTOmo">[1]units!$D$42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T112" i="9" l="1"/>
  <c r="S112" i="9"/>
  <c r="X103" i="9"/>
  <c r="U103" i="9"/>
  <c r="V103" i="9"/>
  <c r="W103" i="9"/>
  <c r="X85" i="9"/>
  <c r="G58" i="9"/>
  <c r="E11" i="11"/>
  <c r="F11" i="11"/>
  <c r="S11" i="11"/>
  <c r="AF11" i="11"/>
  <c r="AS11" i="11"/>
  <c r="BF11" i="11"/>
  <c r="BS11" i="11"/>
  <c r="CF11" i="11"/>
  <c r="CS11" i="11"/>
  <c r="E18" i="11"/>
  <c r="E14" i="11"/>
  <c r="E12" i="11"/>
  <c r="F15" i="11"/>
  <c r="F16" i="11"/>
  <c r="F17" i="11"/>
  <c r="F18" i="11"/>
  <c r="F14" i="11"/>
  <c r="F12" i="11"/>
  <c r="G18" i="11"/>
  <c r="G14" i="11"/>
  <c r="G12" i="11"/>
  <c r="H18" i="11"/>
  <c r="H14" i="11"/>
  <c r="H12" i="11"/>
  <c r="I18" i="11"/>
  <c r="I14" i="11"/>
  <c r="I12" i="11"/>
  <c r="J18" i="11"/>
  <c r="J14" i="11"/>
  <c r="J12" i="11"/>
  <c r="K18" i="11"/>
  <c r="K14" i="11"/>
  <c r="K12" i="11"/>
  <c r="L18" i="11"/>
  <c r="L14" i="11"/>
  <c r="L12" i="11"/>
  <c r="M18" i="11"/>
  <c r="M14" i="11"/>
  <c r="M12" i="11"/>
  <c r="N18" i="11"/>
  <c r="N14" i="11"/>
  <c r="N12" i="11"/>
  <c r="O18" i="11"/>
  <c r="O14" i="11"/>
  <c r="O12" i="11"/>
  <c r="P18" i="11"/>
  <c r="P14" i="11"/>
  <c r="P12" i="11"/>
  <c r="Q18" i="11"/>
  <c r="Q14" i="11"/>
  <c r="Q12" i="11"/>
  <c r="R18" i="11"/>
  <c r="R14" i="11"/>
  <c r="R12" i="11"/>
  <c r="S12" i="11"/>
  <c r="T18" i="11"/>
  <c r="T14" i="11"/>
  <c r="T12" i="11"/>
  <c r="U18" i="11"/>
  <c r="U14" i="11"/>
  <c r="U12" i="11"/>
  <c r="V18" i="11"/>
  <c r="V14" i="11"/>
  <c r="V12" i="11"/>
  <c r="W18" i="11"/>
  <c r="W14" i="11"/>
  <c r="W12" i="11"/>
  <c r="X18" i="11"/>
  <c r="X14" i="11"/>
  <c r="X12" i="11"/>
  <c r="Y18" i="11"/>
  <c r="Y14" i="11"/>
  <c r="Y12" i="11"/>
  <c r="Z18" i="11"/>
  <c r="Z14" i="11"/>
  <c r="Z12" i="11"/>
  <c r="AA18" i="11"/>
  <c r="AA14" i="11"/>
  <c r="AA12" i="11"/>
  <c r="AB18" i="11"/>
  <c r="AB14" i="11"/>
  <c r="AB12" i="11"/>
  <c r="AC18" i="11"/>
  <c r="AC14" i="11"/>
  <c r="AC12" i="11"/>
  <c r="AD18" i="11"/>
  <c r="AD14" i="11"/>
  <c r="AD12" i="11"/>
  <c r="AE18" i="11"/>
  <c r="AE14" i="11"/>
  <c r="AE12" i="11"/>
  <c r="AF12" i="11"/>
  <c r="AG18" i="11"/>
  <c r="AG14" i="11"/>
  <c r="AG12" i="11"/>
  <c r="AH18" i="11"/>
  <c r="AH14" i="11"/>
  <c r="AH12" i="11"/>
  <c r="AI18" i="11"/>
  <c r="AI14" i="11"/>
  <c r="AI12" i="11"/>
  <c r="AJ18" i="11"/>
  <c r="AJ14" i="11"/>
  <c r="AJ12" i="11"/>
  <c r="AK18" i="11"/>
  <c r="AK14" i="11"/>
  <c r="AK12" i="11"/>
  <c r="AL18" i="11"/>
  <c r="AL14" i="11"/>
  <c r="AL12" i="11"/>
  <c r="AM18" i="11"/>
  <c r="AM14" i="11"/>
  <c r="AM12" i="11"/>
  <c r="AN18" i="11"/>
  <c r="AN14" i="11"/>
  <c r="AN12" i="11"/>
  <c r="AO18" i="11"/>
  <c r="AO14" i="11"/>
  <c r="AO12" i="11"/>
  <c r="AP18" i="11"/>
  <c r="AP14" i="11"/>
  <c r="AP12" i="11"/>
  <c r="AQ18" i="11"/>
  <c r="AQ14" i="11"/>
  <c r="AQ12" i="11"/>
  <c r="AR18" i="11"/>
  <c r="AR14" i="11"/>
  <c r="AR12" i="11"/>
  <c r="AS12" i="11"/>
  <c r="AT18" i="11"/>
  <c r="AT14" i="11"/>
  <c r="AT12" i="11"/>
  <c r="AU18" i="11"/>
  <c r="AU14" i="11"/>
  <c r="AU12" i="11"/>
  <c r="AV18" i="11"/>
  <c r="AV14" i="11"/>
  <c r="AV12" i="11"/>
  <c r="AW18" i="11"/>
  <c r="AW14" i="11"/>
  <c r="AW12" i="11"/>
  <c r="AX18" i="11"/>
  <c r="AX14" i="11"/>
  <c r="AX12" i="11"/>
  <c r="AY18" i="11"/>
  <c r="AY14" i="11"/>
  <c r="AY12" i="11"/>
  <c r="AZ18" i="11"/>
  <c r="AZ14" i="11"/>
  <c r="AZ12" i="11"/>
  <c r="BA18" i="11"/>
  <c r="BA14" i="11"/>
  <c r="BA12" i="11"/>
  <c r="BB18" i="11"/>
  <c r="BB14" i="11"/>
  <c r="BB12" i="11"/>
  <c r="BC18" i="11"/>
  <c r="BC14" i="11"/>
  <c r="BC12" i="11"/>
  <c r="BD18" i="11"/>
  <c r="BD14" i="11"/>
  <c r="BD12" i="11"/>
  <c r="BE18" i="11"/>
  <c r="BE14" i="11"/>
  <c r="BE12" i="11"/>
  <c r="BF12" i="11"/>
  <c r="BG18" i="11"/>
  <c r="BG14" i="11"/>
  <c r="BG12" i="11"/>
  <c r="BH18" i="11"/>
  <c r="BH14" i="11"/>
  <c r="BH12" i="11"/>
  <c r="BI18" i="11"/>
  <c r="BI14" i="11"/>
  <c r="BI12" i="11"/>
  <c r="BJ18" i="11"/>
  <c r="BJ14" i="11"/>
  <c r="BJ12" i="11"/>
  <c r="BK18" i="11"/>
  <c r="BK14" i="11"/>
  <c r="BK12" i="11"/>
  <c r="BL18" i="11"/>
  <c r="BL14" i="11"/>
  <c r="BL12" i="11"/>
  <c r="BM18" i="11"/>
  <c r="BM14" i="11"/>
  <c r="BM12" i="11"/>
  <c r="BN18" i="11"/>
  <c r="BN14" i="11"/>
  <c r="BN12" i="11"/>
  <c r="BO18" i="11"/>
  <c r="BO14" i="11"/>
  <c r="BO12" i="11"/>
  <c r="BP18" i="11"/>
  <c r="BP14" i="11"/>
  <c r="BP12" i="11"/>
  <c r="BQ18" i="11"/>
  <c r="BQ14" i="11"/>
  <c r="BQ12" i="11"/>
  <c r="BR18" i="11"/>
  <c r="BR14" i="11"/>
  <c r="BR12" i="11"/>
  <c r="BS12" i="11"/>
  <c r="CF12" i="11"/>
  <c r="CG18" i="11"/>
  <c r="CG14" i="11"/>
  <c r="CG12" i="11"/>
  <c r="CH18" i="11"/>
  <c r="CH14" i="11"/>
  <c r="CH12" i="11"/>
  <c r="CI18" i="11"/>
  <c r="CI14" i="11"/>
  <c r="CI12" i="11"/>
  <c r="CJ18" i="11"/>
  <c r="CJ14" i="11"/>
  <c r="CJ12" i="11"/>
  <c r="CK18" i="11"/>
  <c r="CK14" i="11"/>
  <c r="CK12" i="11"/>
  <c r="CL18" i="11"/>
  <c r="CL14" i="11"/>
  <c r="CL12" i="11"/>
  <c r="CM18" i="11"/>
  <c r="CM14" i="11"/>
  <c r="CM12" i="11"/>
  <c r="CN18" i="11"/>
  <c r="CN14" i="11"/>
  <c r="CN12" i="11"/>
  <c r="CO18" i="11"/>
  <c r="CO14" i="11"/>
  <c r="CO12" i="11"/>
  <c r="CP18" i="11"/>
  <c r="CP14" i="11"/>
  <c r="CP12" i="11"/>
  <c r="CQ18" i="11"/>
  <c r="CQ14" i="11"/>
  <c r="CQ12" i="11"/>
  <c r="CR18" i="11"/>
  <c r="CR14" i="11"/>
  <c r="CR12" i="11"/>
  <c r="CS12" i="11"/>
  <c r="S13" i="11"/>
  <c r="AF13" i="11"/>
  <c r="AS13" i="11"/>
  <c r="BF13" i="11"/>
  <c r="BS13" i="11"/>
  <c r="CF13" i="11"/>
  <c r="CS13" i="11"/>
  <c r="S14" i="11"/>
  <c r="AF14" i="11"/>
  <c r="AS14" i="11"/>
  <c r="BF14" i="11"/>
  <c r="BS14" i="11"/>
  <c r="CF14" i="11"/>
  <c r="CS14" i="11"/>
  <c r="S15" i="11"/>
  <c r="AF15" i="11"/>
  <c r="AS15" i="11"/>
  <c r="BF15" i="11"/>
  <c r="BS15" i="11"/>
  <c r="CF15" i="11"/>
  <c r="CS15" i="11"/>
  <c r="S16" i="11"/>
  <c r="AF16" i="11"/>
  <c r="AS16" i="11"/>
  <c r="BF16" i="11"/>
  <c r="BS16" i="11"/>
  <c r="CF16" i="11"/>
  <c r="CS16" i="11"/>
  <c r="S17" i="11"/>
  <c r="AF17" i="11"/>
  <c r="AS17" i="11"/>
  <c r="BF17" i="11"/>
  <c r="BS17" i="11"/>
  <c r="CF17" i="11"/>
  <c r="CS17" i="11"/>
  <c r="S18" i="11"/>
  <c r="AF18" i="11"/>
  <c r="AS18" i="11"/>
  <c r="BF18" i="11"/>
  <c r="BS18" i="11"/>
  <c r="CF18" i="11"/>
  <c r="CS18" i="11"/>
  <c r="S19" i="11"/>
  <c r="AF19" i="11"/>
  <c r="AS19" i="11"/>
  <c r="BF19" i="11"/>
  <c r="BS19" i="11"/>
  <c r="CF19" i="11"/>
  <c r="CS19" i="11"/>
  <c r="S20" i="11"/>
  <c r="AF20" i="11"/>
  <c r="AS20" i="11"/>
  <c r="BF20" i="11"/>
  <c r="BS20" i="11"/>
  <c r="CF20" i="11"/>
  <c r="CS20" i="11"/>
  <c r="S21" i="11"/>
  <c r="AF21" i="11"/>
  <c r="AS21" i="11"/>
  <c r="BF21" i="11"/>
  <c r="BS21" i="11"/>
  <c r="CF21" i="11"/>
  <c r="CS21" i="11"/>
  <c r="S22" i="11"/>
  <c r="AF22" i="11"/>
  <c r="AS22" i="11"/>
  <c r="BF22" i="11"/>
  <c r="BS22" i="11"/>
  <c r="CF22" i="11"/>
  <c r="CS22"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AX23" i="11"/>
  <c r="AY23" i="11"/>
  <c r="AZ23" i="11"/>
  <c r="BA23" i="11"/>
  <c r="BB23" i="11"/>
  <c r="BC23" i="11"/>
  <c r="BD23" i="11"/>
  <c r="BE23" i="11"/>
  <c r="BF23" i="11"/>
  <c r="BG23" i="11"/>
  <c r="BH23" i="11"/>
  <c r="BI23" i="11"/>
  <c r="BJ23" i="11"/>
  <c r="BK23" i="11"/>
  <c r="BL23" i="11"/>
  <c r="BM23" i="11"/>
  <c r="BN23" i="11"/>
  <c r="BO23" i="11"/>
  <c r="BP23" i="11"/>
  <c r="BQ23" i="11"/>
  <c r="BR23" i="11"/>
  <c r="BS23" i="11"/>
  <c r="CF23" i="11"/>
  <c r="CG23" i="11"/>
  <c r="CH23" i="11"/>
  <c r="CI23" i="11"/>
  <c r="CJ23" i="11"/>
  <c r="CK23" i="11"/>
  <c r="CL23" i="11"/>
  <c r="CM23" i="11"/>
  <c r="CN23" i="11"/>
  <c r="CO23" i="11"/>
  <c r="CP23" i="11"/>
  <c r="CQ23" i="11"/>
  <c r="CR23" i="11"/>
  <c r="CS23"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AX24" i="11"/>
  <c r="AY24" i="11"/>
  <c r="AZ24" i="11"/>
  <c r="BA24" i="11"/>
  <c r="BB24" i="11"/>
  <c r="BC24" i="11"/>
  <c r="BD24" i="11"/>
  <c r="BE24" i="11"/>
  <c r="BF24" i="11"/>
  <c r="BG24" i="11"/>
  <c r="BH24" i="11"/>
  <c r="BI24" i="11"/>
  <c r="BJ24" i="11"/>
  <c r="BK24" i="11"/>
  <c r="BL24" i="11"/>
  <c r="BM24" i="11"/>
  <c r="BN24" i="11"/>
  <c r="BO24" i="11"/>
  <c r="BP24" i="11"/>
  <c r="BQ24" i="11"/>
  <c r="BR24" i="11"/>
  <c r="BS24" i="11"/>
  <c r="CF24" i="11"/>
  <c r="CG24" i="11"/>
  <c r="CH24" i="11"/>
  <c r="CI24" i="11"/>
  <c r="CJ24" i="11"/>
  <c r="CK24" i="11"/>
  <c r="CL24" i="11"/>
  <c r="CM24" i="11"/>
  <c r="CN24" i="11"/>
  <c r="CO24" i="11"/>
  <c r="CP24" i="11"/>
  <c r="CQ24" i="11"/>
  <c r="CR24" i="11"/>
  <c r="CS24" i="11"/>
  <c r="S26" i="11"/>
  <c r="AF26" i="11"/>
  <c r="AS26" i="11"/>
  <c r="BF26" i="11"/>
  <c r="BS26" i="11"/>
  <c r="CF26" i="11"/>
  <c r="CS26" i="11"/>
  <c r="S27" i="11"/>
  <c r="AF27" i="11"/>
  <c r="AS27" i="11"/>
  <c r="BF27" i="11"/>
  <c r="BS27" i="11"/>
  <c r="CF27" i="11"/>
  <c r="CS27"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BF28" i="11"/>
  <c r="BS28" i="11"/>
  <c r="CF28" i="11"/>
  <c r="CS28"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AX29" i="11"/>
  <c r="AY29" i="11"/>
  <c r="AZ29" i="11"/>
  <c r="BA29" i="11"/>
  <c r="BB29" i="11"/>
  <c r="BC29" i="11"/>
  <c r="BD29" i="11"/>
  <c r="BE29" i="11"/>
  <c r="BF29" i="11"/>
  <c r="BG29" i="11"/>
  <c r="BH29" i="11"/>
  <c r="BI29" i="11"/>
  <c r="BJ29" i="11"/>
  <c r="BK29" i="11"/>
  <c r="BL29" i="11"/>
  <c r="BM29" i="11"/>
  <c r="BN29" i="11"/>
  <c r="BO29" i="11"/>
  <c r="BP29" i="11"/>
  <c r="BQ29" i="11"/>
  <c r="BR29" i="11"/>
  <c r="BS29" i="11"/>
  <c r="CF29" i="11"/>
  <c r="CG29" i="11"/>
  <c r="CH29" i="11"/>
  <c r="CI29" i="11"/>
  <c r="CJ29" i="11"/>
  <c r="CK29" i="11"/>
  <c r="CL29" i="11"/>
  <c r="CM29" i="11"/>
  <c r="CN29" i="11"/>
  <c r="CO29" i="11"/>
  <c r="CP29" i="11"/>
  <c r="CQ29" i="11"/>
  <c r="CR29" i="11"/>
  <c r="CS29" i="11"/>
  <c r="S31" i="11"/>
  <c r="AF31" i="11"/>
  <c r="AS31" i="11"/>
  <c r="BF31" i="11"/>
  <c r="BS31" i="11"/>
  <c r="CF31" i="11"/>
  <c r="CS31" i="11"/>
  <c r="S32" i="11"/>
  <c r="AF32" i="11"/>
  <c r="AS32" i="11"/>
  <c r="BF32" i="11"/>
  <c r="BS32" i="11"/>
  <c r="CF32" i="11"/>
  <c r="CS32" i="11"/>
  <c r="S33" i="11"/>
  <c r="AF33" i="11"/>
  <c r="AS33" i="11"/>
  <c r="BF33" i="11"/>
  <c r="BS33" i="11"/>
  <c r="CF33" i="11"/>
  <c r="CS33"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BB34" i="11"/>
  <c r="BC34" i="11"/>
  <c r="BD34" i="11"/>
  <c r="BE34" i="11"/>
  <c r="BF34" i="11"/>
  <c r="BG34" i="11"/>
  <c r="BH34" i="11"/>
  <c r="BI34" i="11"/>
  <c r="BJ34" i="11"/>
  <c r="BK34" i="11"/>
  <c r="BL34" i="11"/>
  <c r="BM34" i="11"/>
  <c r="BN34" i="11"/>
  <c r="BO34" i="11"/>
  <c r="BP34" i="11"/>
  <c r="BQ34" i="11"/>
  <c r="BR34" i="11"/>
  <c r="BS34" i="11"/>
  <c r="CF34" i="11"/>
  <c r="CG34" i="11"/>
  <c r="CH34" i="11"/>
  <c r="CI34" i="11"/>
  <c r="CJ34" i="11"/>
  <c r="CK34" i="11"/>
  <c r="CL34" i="11"/>
  <c r="CM34" i="11"/>
  <c r="CN34" i="11"/>
  <c r="CO34" i="11"/>
  <c r="CP34" i="11"/>
  <c r="CQ34" i="11"/>
  <c r="CR34" i="11"/>
  <c r="CS34"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BB36" i="11"/>
  <c r="BC36" i="11"/>
  <c r="BD36" i="11"/>
  <c r="BE36" i="11"/>
  <c r="BF36" i="11"/>
  <c r="BG36" i="11"/>
  <c r="BH36" i="11"/>
  <c r="BI36" i="11"/>
  <c r="BJ36" i="11"/>
  <c r="BK36" i="11"/>
  <c r="BL36" i="11"/>
  <c r="BM36" i="11"/>
  <c r="BN36" i="11"/>
  <c r="BO36" i="11"/>
  <c r="BP36" i="11"/>
  <c r="BQ36" i="11"/>
  <c r="BR36" i="11"/>
  <c r="BS36" i="11"/>
  <c r="CF36" i="11"/>
  <c r="CG36" i="11"/>
  <c r="CH36" i="11"/>
  <c r="CI36" i="11"/>
  <c r="CJ36" i="11"/>
  <c r="CK36" i="11"/>
  <c r="CL36" i="11"/>
  <c r="CM36" i="11"/>
  <c r="CN36" i="11"/>
  <c r="CO36" i="11"/>
  <c r="CP36" i="11"/>
  <c r="CQ36" i="11"/>
  <c r="CR36" i="11"/>
  <c r="CS36"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BB38" i="11"/>
  <c r="BC38" i="11"/>
  <c r="BD38" i="11"/>
  <c r="BE38" i="11"/>
  <c r="BF38" i="11"/>
  <c r="BG38" i="11"/>
  <c r="BH38" i="11"/>
  <c r="BI38" i="11"/>
  <c r="BJ38" i="11"/>
  <c r="BK38" i="11"/>
  <c r="BL38" i="11"/>
  <c r="BM38" i="11"/>
  <c r="BN38" i="11"/>
  <c r="BO38" i="11"/>
  <c r="BP38" i="11"/>
  <c r="BQ38" i="11"/>
  <c r="BR38" i="11"/>
  <c r="BS38" i="11"/>
  <c r="CF38" i="11"/>
  <c r="CG38" i="11"/>
  <c r="CH38" i="11"/>
  <c r="CI38" i="11"/>
  <c r="CJ38" i="11"/>
  <c r="CK38" i="11"/>
  <c r="CL38" i="11"/>
  <c r="CM38" i="11"/>
  <c r="CN38" i="11"/>
  <c r="CO38" i="11"/>
  <c r="CP38" i="11"/>
  <c r="CQ38" i="11"/>
  <c r="CR38" i="11"/>
  <c r="CS38" i="11"/>
  <c r="G42" i="11"/>
  <c r="H42" i="11"/>
  <c r="I42" i="11"/>
  <c r="J42" i="11"/>
  <c r="K42" i="11"/>
  <c r="L42" i="11"/>
  <c r="M42" i="11"/>
  <c r="N42" i="11"/>
  <c r="O42" i="11"/>
  <c r="P42" i="11"/>
  <c r="Q42" i="11"/>
  <c r="R42" i="11"/>
  <c r="S42" i="11"/>
  <c r="T42" i="11"/>
  <c r="U42" i="11"/>
  <c r="V42" i="11"/>
  <c r="W42" i="11"/>
  <c r="X42" i="11"/>
  <c r="Y42" i="11"/>
  <c r="AF42" i="11"/>
  <c r="AG42" i="11"/>
  <c r="AH42" i="11"/>
  <c r="AI42" i="11"/>
  <c r="AJ42" i="11"/>
  <c r="AK42" i="11"/>
  <c r="AL42" i="11"/>
  <c r="AS42" i="11"/>
  <c r="AT42" i="11"/>
  <c r="AU42" i="11"/>
  <c r="AV42" i="11"/>
  <c r="AW42" i="11"/>
  <c r="AX42" i="11"/>
  <c r="AY42" i="11"/>
  <c r="BF42" i="11"/>
  <c r="BG42" i="11"/>
  <c r="BH42" i="11"/>
  <c r="BI42" i="11"/>
  <c r="BJ42" i="11"/>
  <c r="BK42" i="11"/>
  <c r="BL42" i="11"/>
  <c r="BS42" i="11"/>
  <c r="CF42" i="11"/>
  <c r="CG42" i="11"/>
  <c r="CH42" i="11"/>
  <c r="CI42" i="11"/>
  <c r="CJ42" i="11"/>
  <c r="CK42" i="11"/>
  <c r="CL42" i="11"/>
  <c r="CS42" i="11"/>
  <c r="G43" i="11"/>
  <c r="H43" i="11"/>
  <c r="I43" i="11"/>
  <c r="J43" i="11"/>
  <c r="K43" i="11"/>
  <c r="L43" i="11"/>
  <c r="M43" i="11"/>
  <c r="N43" i="11"/>
  <c r="O43" i="11"/>
  <c r="P43" i="11"/>
  <c r="Q43" i="11"/>
  <c r="R43" i="11"/>
  <c r="S43" i="11"/>
  <c r="T43" i="11"/>
  <c r="U43" i="11"/>
  <c r="V43" i="11"/>
  <c r="W43" i="11"/>
  <c r="X43" i="11"/>
  <c r="Y43" i="11"/>
  <c r="AF43" i="11"/>
  <c r="AG43" i="11"/>
  <c r="AH43" i="11"/>
  <c r="AI43" i="11"/>
  <c r="AJ43" i="11"/>
  <c r="AK43" i="11"/>
  <c r="AL43" i="11"/>
  <c r="AS43" i="11"/>
  <c r="AT43" i="11"/>
  <c r="AU43" i="11"/>
  <c r="AV43" i="11"/>
  <c r="AW43" i="11"/>
  <c r="AX43" i="11"/>
  <c r="AY43" i="11"/>
  <c r="BF43" i="11"/>
  <c r="BG43" i="11"/>
  <c r="BH43" i="11"/>
  <c r="BI43" i="11"/>
  <c r="BJ43" i="11"/>
  <c r="BK43" i="11"/>
  <c r="BL43" i="11"/>
  <c r="BS43" i="11"/>
  <c r="CF43" i="11"/>
  <c r="CG43" i="11"/>
  <c r="CH43" i="11"/>
  <c r="CI43" i="11"/>
  <c r="CJ43" i="11"/>
  <c r="CK43" i="11"/>
  <c r="CL43" i="11"/>
  <c r="CS43"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AX44" i="11"/>
  <c r="AY44" i="11"/>
  <c r="AZ44" i="11"/>
  <c r="BA44" i="11"/>
  <c r="BB44" i="11"/>
  <c r="BC44" i="11"/>
  <c r="BD44" i="11"/>
  <c r="BE44" i="11"/>
  <c r="BF44" i="11"/>
  <c r="BG44" i="11"/>
  <c r="BH44" i="11"/>
  <c r="BI44" i="11"/>
  <c r="BJ44" i="11"/>
  <c r="BK44" i="11"/>
  <c r="BL44" i="11"/>
  <c r="BM44" i="11"/>
  <c r="BN44" i="11"/>
  <c r="BO44" i="11"/>
  <c r="BP44" i="11"/>
  <c r="BQ44" i="11"/>
  <c r="BR44" i="11"/>
  <c r="BS44" i="11"/>
  <c r="CF44" i="11"/>
  <c r="CG44" i="11"/>
  <c r="CH44" i="11"/>
  <c r="CI44" i="11"/>
  <c r="CJ44" i="11"/>
  <c r="CK44" i="11"/>
  <c r="CL44" i="11"/>
  <c r="CM44" i="11"/>
  <c r="CN44" i="11"/>
  <c r="CO44" i="11"/>
  <c r="CP44" i="11"/>
  <c r="CQ44" i="11"/>
  <c r="CR44" i="11"/>
  <c r="CS44" i="11"/>
  <c r="S45" i="11"/>
  <c r="AF45" i="11"/>
  <c r="AS45" i="11"/>
  <c r="BF45" i="11"/>
  <c r="BS45" i="11"/>
  <c r="CF45" i="11"/>
  <c r="CS45" i="11"/>
  <c r="S46" i="11"/>
  <c r="AF46" i="11"/>
  <c r="AS46" i="11"/>
  <c r="BF46" i="11"/>
  <c r="BS46" i="11"/>
  <c r="CF46" i="11"/>
  <c r="CS46" i="11"/>
  <c r="S47" i="11"/>
  <c r="AF47" i="11"/>
  <c r="AS47" i="11"/>
  <c r="BF47" i="11"/>
  <c r="BS47" i="11"/>
  <c r="CF47" i="11"/>
  <c r="CS47" i="11"/>
  <c r="S48" i="11"/>
  <c r="AF48" i="11"/>
  <c r="AS48" i="11"/>
  <c r="BF48" i="11"/>
  <c r="BS48" i="11"/>
  <c r="CF48" i="11"/>
  <c r="CS48"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BJ49" i="11"/>
  <c r="BK49" i="11"/>
  <c r="BL49" i="11"/>
  <c r="BM49" i="11"/>
  <c r="BN49" i="11"/>
  <c r="BO49" i="11"/>
  <c r="BP49" i="11"/>
  <c r="BQ49" i="11"/>
  <c r="BR49" i="11"/>
  <c r="BS49" i="11"/>
  <c r="CF49" i="11"/>
  <c r="CG49" i="11"/>
  <c r="CH49" i="11"/>
  <c r="CI49" i="11"/>
  <c r="CJ49" i="11"/>
  <c r="CK49" i="11"/>
  <c r="CL49" i="11"/>
  <c r="CM49" i="11"/>
  <c r="CN49" i="11"/>
  <c r="CO49" i="11"/>
  <c r="CP49" i="11"/>
  <c r="CQ49" i="11"/>
  <c r="CR49" i="11"/>
  <c r="CS49" i="11"/>
  <c r="S51" i="11"/>
  <c r="AF51" i="11"/>
  <c r="AS51" i="11"/>
  <c r="BF51" i="11"/>
  <c r="BS51" i="11"/>
  <c r="CF51" i="11"/>
  <c r="CS51" i="11"/>
  <c r="S53" i="11"/>
  <c r="AF53" i="11"/>
  <c r="AS53" i="11"/>
  <c r="BF53" i="11"/>
  <c r="BS53" i="11"/>
  <c r="CF53" i="11"/>
  <c r="CS53"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AP55" i="11"/>
  <c r="AQ55" i="11"/>
  <c r="AR55" i="11"/>
  <c r="AS55" i="11"/>
  <c r="AT55" i="11"/>
  <c r="AU55" i="11"/>
  <c r="AV55" i="11"/>
  <c r="AW55" i="11"/>
  <c r="AX55" i="11"/>
  <c r="AY55" i="11"/>
  <c r="AZ55" i="11"/>
  <c r="BA55" i="11"/>
  <c r="BB55" i="11"/>
  <c r="BC55" i="11"/>
  <c r="BD55" i="11"/>
  <c r="BE55" i="11"/>
  <c r="BF55" i="11"/>
  <c r="BG55" i="11"/>
  <c r="BH55" i="11"/>
  <c r="BI55" i="11"/>
  <c r="BJ55" i="11"/>
  <c r="BK55" i="11"/>
  <c r="BL55" i="11"/>
  <c r="BM55" i="11"/>
  <c r="BN55" i="11"/>
  <c r="BO55" i="11"/>
  <c r="BP55" i="11"/>
  <c r="BQ55" i="11"/>
  <c r="BR55" i="11"/>
  <c r="BS55" i="11"/>
  <c r="CF55" i="11"/>
  <c r="CG55" i="11"/>
  <c r="CH55" i="11"/>
  <c r="CI55" i="11"/>
  <c r="CJ55" i="11"/>
  <c r="CK55" i="11"/>
  <c r="CL55" i="11"/>
  <c r="CM55" i="11"/>
  <c r="CN55" i="11"/>
  <c r="CO55" i="11"/>
  <c r="CP55" i="11"/>
  <c r="CQ55" i="11"/>
  <c r="CR55" i="11"/>
  <c r="CS55"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AP57" i="11"/>
  <c r="AQ57" i="11"/>
  <c r="AR57" i="11"/>
  <c r="AS57" i="11"/>
  <c r="AT57" i="11"/>
  <c r="AU57" i="11"/>
  <c r="AV57" i="11"/>
  <c r="AW57" i="11"/>
  <c r="AX57" i="11"/>
  <c r="AY57" i="11"/>
  <c r="AZ57" i="11"/>
  <c r="BA57" i="11"/>
  <c r="BB57" i="11"/>
  <c r="BC57" i="11"/>
  <c r="BD57" i="11"/>
  <c r="BE57" i="11"/>
  <c r="BF57" i="11"/>
  <c r="BG57" i="11"/>
  <c r="BH57" i="11"/>
  <c r="BI57" i="11"/>
  <c r="BJ57" i="11"/>
  <c r="BK57" i="11"/>
  <c r="BL57" i="11"/>
  <c r="BM57" i="11"/>
  <c r="BN57" i="11"/>
  <c r="BO57" i="11"/>
  <c r="BP57" i="11"/>
  <c r="BQ57" i="11"/>
  <c r="BR57" i="11"/>
  <c r="BS57" i="11"/>
  <c r="CF57" i="11"/>
  <c r="CG57" i="11"/>
  <c r="CH57" i="11"/>
  <c r="CI57" i="11"/>
  <c r="CJ57" i="11"/>
  <c r="CK57" i="11"/>
  <c r="CL57" i="11"/>
  <c r="CM57" i="11"/>
  <c r="CN57" i="11"/>
  <c r="CO57" i="11"/>
  <c r="CP57" i="11"/>
  <c r="CQ57" i="11"/>
  <c r="CR57" i="11"/>
  <c r="CS57" i="11"/>
  <c r="S61" i="11"/>
  <c r="AF61" i="11"/>
  <c r="AS61" i="11"/>
  <c r="BF61" i="11"/>
  <c r="BS61" i="11"/>
  <c r="CF61" i="11"/>
  <c r="CM61" i="11"/>
  <c r="CN61" i="11"/>
  <c r="CO61" i="11"/>
  <c r="CP61" i="11"/>
  <c r="CQ61" i="11"/>
  <c r="CR61" i="11"/>
  <c r="CS61" i="11"/>
  <c r="S62" i="11"/>
  <c r="AF62" i="11"/>
  <c r="AS62" i="11"/>
  <c r="BF62" i="11"/>
  <c r="BS62" i="11"/>
  <c r="CF62" i="11"/>
  <c r="CM62" i="11"/>
  <c r="CN62" i="11"/>
  <c r="CO62" i="11"/>
  <c r="CP62" i="11"/>
  <c r="CQ62" i="11"/>
  <c r="CR62" i="11"/>
  <c r="CS62" i="11"/>
  <c r="S63" i="11"/>
  <c r="AF63" i="11"/>
  <c r="AS63" i="11"/>
  <c r="BF63" i="11"/>
  <c r="BS63" i="11"/>
  <c r="CF63" i="11"/>
  <c r="CS63" i="11"/>
  <c r="E65" i="11"/>
  <c r="E64" i="11"/>
  <c r="F65" i="1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AI64" i="11"/>
  <c r="AJ64" i="11"/>
  <c r="AK64" i="11"/>
  <c r="AL64" i="11"/>
  <c r="AM64" i="11"/>
  <c r="AN64" i="11"/>
  <c r="AO64" i="11"/>
  <c r="AP64" i="11"/>
  <c r="AQ64" i="11"/>
  <c r="AR64" i="11"/>
  <c r="AS64" i="11"/>
  <c r="AT64" i="11"/>
  <c r="AU64" i="11"/>
  <c r="AV64" i="11"/>
  <c r="AW64" i="11"/>
  <c r="AX64" i="11"/>
  <c r="AY64" i="11"/>
  <c r="AZ64" i="11"/>
  <c r="BA64" i="11"/>
  <c r="BB64" i="11"/>
  <c r="BC64" i="11"/>
  <c r="BD64" i="11"/>
  <c r="BE64" i="11"/>
  <c r="BF64" i="11"/>
  <c r="BG64" i="11"/>
  <c r="BH64" i="11"/>
  <c r="BI64" i="11"/>
  <c r="BJ64" i="11"/>
  <c r="BK64" i="11"/>
  <c r="BL64" i="11"/>
  <c r="BM64" i="11"/>
  <c r="BN64" i="11"/>
  <c r="BO64" i="11"/>
  <c r="BP64" i="11"/>
  <c r="BQ64" i="11"/>
  <c r="BR64" i="11"/>
  <c r="BS64" i="11"/>
  <c r="CF64" i="11"/>
  <c r="CG64" i="11"/>
  <c r="CH64" i="11"/>
  <c r="CI64" i="11"/>
  <c r="CJ64" i="11"/>
  <c r="CK64" i="11"/>
  <c r="CL64" i="11"/>
  <c r="CM64" i="11"/>
  <c r="CN64" i="11"/>
  <c r="CO64" i="11"/>
  <c r="CP64" i="11"/>
  <c r="CQ64" i="11"/>
  <c r="CR64" i="11"/>
  <c r="CS64" i="11"/>
  <c r="S65" i="11"/>
  <c r="AF65" i="11"/>
  <c r="AS65" i="11"/>
  <c r="BF65" i="11"/>
  <c r="BS65" i="11"/>
  <c r="CF65" i="11"/>
  <c r="CS65" i="11"/>
  <c r="S66" i="11"/>
  <c r="AF66" i="11"/>
  <c r="AS66" i="11"/>
  <c r="BF66" i="11"/>
  <c r="BS66" i="11"/>
  <c r="CF66" i="11"/>
  <c r="CS66"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AX68" i="11"/>
  <c r="AY68" i="11"/>
  <c r="AZ68" i="11"/>
  <c r="BA68" i="11"/>
  <c r="BB68" i="11"/>
  <c r="BF68" i="11"/>
  <c r="BS68" i="11"/>
  <c r="CF68" i="11"/>
  <c r="CS68"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BF69" i="11"/>
  <c r="BS69" i="11"/>
  <c r="CF69" i="11"/>
  <c r="CS69"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X71" i="11"/>
  <c r="AY71" i="11"/>
  <c r="AZ71" i="11"/>
  <c r="BA71" i="11"/>
  <c r="BB71" i="11"/>
  <c r="BF71" i="11"/>
  <c r="BS71" i="11"/>
  <c r="CF71" i="11"/>
  <c r="CS71" i="11"/>
  <c r="G72" i="11"/>
  <c r="H72" i="11"/>
  <c r="I72" i="11"/>
  <c r="J72" i="11"/>
  <c r="K72" i="11"/>
  <c r="L72" i="11"/>
  <c r="M72" i="11"/>
  <c r="N72" i="11"/>
  <c r="O72" i="11"/>
  <c r="P72" i="11"/>
  <c r="Q72" i="11"/>
  <c r="R72" i="11"/>
  <c r="S72" i="11"/>
  <c r="T72" i="11"/>
  <c r="U72" i="11"/>
  <c r="V72" i="11"/>
  <c r="W72" i="11"/>
  <c r="X72" i="11"/>
  <c r="Y72" i="11"/>
  <c r="Z72" i="11"/>
  <c r="AA72" i="11"/>
  <c r="AB72" i="11"/>
  <c r="AC72" i="11"/>
  <c r="AD72" i="11"/>
  <c r="AE72" i="11"/>
  <c r="AF72" i="11"/>
  <c r="AG72" i="11"/>
  <c r="AH72" i="11"/>
  <c r="AI72" i="11"/>
  <c r="AJ72" i="11"/>
  <c r="AK72" i="11"/>
  <c r="AL72" i="11"/>
  <c r="AM72" i="11"/>
  <c r="AN72" i="11"/>
  <c r="AO72" i="11"/>
  <c r="AP72" i="11"/>
  <c r="AQ72" i="11"/>
  <c r="AR72" i="11"/>
  <c r="AS72" i="11"/>
  <c r="BF72" i="11"/>
  <c r="BS72" i="11"/>
  <c r="CF72" i="11"/>
  <c r="CS72" i="11"/>
  <c r="G74" i="11"/>
  <c r="H74" i="11"/>
  <c r="I74" i="11"/>
  <c r="J74" i="11"/>
  <c r="K74" i="11"/>
  <c r="L74" i="11"/>
  <c r="M74" i="11"/>
  <c r="N74" i="11"/>
  <c r="O74" i="11"/>
  <c r="P74" i="11"/>
  <c r="Q74" i="11"/>
  <c r="R74" i="11"/>
  <c r="S74" i="11"/>
  <c r="T74" i="11"/>
  <c r="U74" i="11"/>
  <c r="V74" i="11"/>
  <c r="W74" i="11"/>
  <c r="X74" i="11"/>
  <c r="Y74" i="11"/>
  <c r="Z74" i="11"/>
  <c r="AA74" i="11"/>
  <c r="AB74" i="11"/>
  <c r="AC74" i="11"/>
  <c r="AD74" i="11"/>
  <c r="AE74" i="11"/>
  <c r="AF74" i="11"/>
  <c r="AG74" i="11"/>
  <c r="AH74" i="11"/>
  <c r="AI74" i="11"/>
  <c r="AJ74" i="11"/>
  <c r="AK74" i="11"/>
  <c r="AL74" i="11"/>
  <c r="AM74" i="11"/>
  <c r="AN74" i="11"/>
  <c r="AO74" i="11"/>
  <c r="AP74" i="11"/>
  <c r="AQ74" i="11"/>
  <c r="AR74" i="11"/>
  <c r="AS74" i="11"/>
  <c r="AT74" i="11"/>
  <c r="AU74" i="11"/>
  <c r="AV74" i="11"/>
  <c r="AW74" i="11"/>
  <c r="AX74" i="11"/>
  <c r="AY74" i="11"/>
  <c r="AZ74" i="11"/>
  <c r="BA74" i="11"/>
  <c r="BB74" i="11"/>
  <c r="BC74" i="11"/>
  <c r="BD74" i="11"/>
  <c r="BE74" i="11"/>
  <c r="BF74" i="11"/>
  <c r="BG74" i="11"/>
  <c r="BH74" i="11"/>
  <c r="BI74" i="11"/>
  <c r="BJ74" i="11"/>
  <c r="BK74" i="11"/>
  <c r="BL74" i="11"/>
  <c r="BM74" i="11"/>
  <c r="BN74" i="11"/>
  <c r="BO74" i="11"/>
  <c r="BP74" i="11"/>
  <c r="BQ74" i="11"/>
  <c r="BR74" i="11"/>
  <c r="BS74" i="11"/>
  <c r="CF74" i="11"/>
  <c r="CG74" i="11"/>
  <c r="CH74" i="11"/>
  <c r="CI74" i="11"/>
  <c r="CJ74" i="11"/>
  <c r="CK74" i="11"/>
  <c r="CL74" i="11"/>
  <c r="CM74" i="11"/>
  <c r="CN74" i="11"/>
  <c r="CO74" i="11"/>
  <c r="CP74" i="11"/>
  <c r="CQ74" i="11"/>
  <c r="CR74" i="11"/>
  <c r="CS74"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AE76" i="11"/>
  <c r="AF76" i="11"/>
  <c r="AG76" i="11"/>
  <c r="AH76" i="11"/>
  <c r="AI76" i="11"/>
  <c r="AJ76" i="11"/>
  <c r="AK76" i="11"/>
  <c r="AL76" i="11"/>
  <c r="AM76" i="11"/>
  <c r="AN76" i="11"/>
  <c r="AO76" i="11"/>
  <c r="AP76" i="11"/>
  <c r="AQ76" i="11"/>
  <c r="AR76" i="11"/>
  <c r="AS76" i="11"/>
  <c r="AT76" i="11"/>
  <c r="AU76" i="11"/>
  <c r="AV76" i="11"/>
  <c r="AW76" i="11"/>
  <c r="AX76" i="11"/>
  <c r="AY76" i="11"/>
  <c r="AZ76" i="11"/>
  <c r="BA76" i="11"/>
  <c r="BB76" i="11"/>
  <c r="BC76" i="11"/>
  <c r="BD76" i="11"/>
  <c r="BE76" i="11"/>
  <c r="BF76" i="11"/>
  <c r="BG76" i="11"/>
  <c r="BH76" i="11"/>
  <c r="BI76" i="11"/>
  <c r="BJ76" i="11"/>
  <c r="BK76" i="11"/>
  <c r="BL76" i="11"/>
  <c r="BM76" i="11"/>
  <c r="BN76" i="11"/>
  <c r="BO76" i="11"/>
  <c r="BP76" i="11"/>
  <c r="BQ76" i="11"/>
  <c r="BR76" i="11"/>
  <c r="BS76" i="11"/>
  <c r="CF76" i="11"/>
  <c r="CG76" i="11"/>
  <c r="CH76" i="11"/>
  <c r="CI76" i="11"/>
  <c r="CJ76" i="11"/>
  <c r="CK76" i="11"/>
  <c r="CL76" i="11"/>
  <c r="CM76" i="11"/>
  <c r="CN76" i="11"/>
  <c r="CO76" i="11"/>
  <c r="CP76" i="11"/>
  <c r="CQ76" i="11"/>
  <c r="CR76" i="11"/>
  <c r="CS76"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AE78" i="11"/>
  <c r="AF78" i="11"/>
  <c r="AG78" i="11"/>
  <c r="AH78" i="11"/>
  <c r="AI78" i="11"/>
  <c r="AJ78" i="11"/>
  <c r="AK78" i="11"/>
  <c r="AL78" i="11"/>
  <c r="AM78" i="11"/>
  <c r="AN78" i="11"/>
  <c r="AO78" i="11"/>
  <c r="AP78" i="11"/>
  <c r="AQ78" i="11"/>
  <c r="AR78" i="11"/>
  <c r="AS78" i="11"/>
  <c r="AT78" i="11"/>
  <c r="AU78" i="11"/>
  <c r="AV78" i="11"/>
  <c r="AW78" i="11"/>
  <c r="AX78" i="11"/>
  <c r="AY78" i="11"/>
  <c r="AZ78" i="11"/>
  <c r="BA78" i="11"/>
  <c r="BB78" i="11"/>
  <c r="BC78" i="11"/>
  <c r="BD78" i="11"/>
  <c r="BE78" i="11"/>
  <c r="BF78" i="11"/>
  <c r="BG78" i="11"/>
  <c r="BH78" i="11"/>
  <c r="BI78" i="11"/>
  <c r="BJ78" i="11"/>
  <c r="BK78" i="11"/>
  <c r="BL78" i="11"/>
  <c r="BM78" i="11"/>
  <c r="BN78" i="11"/>
  <c r="BO78" i="11"/>
  <c r="BP78" i="11"/>
  <c r="BQ78" i="11"/>
  <c r="BR78" i="11"/>
  <c r="BS78" i="11"/>
  <c r="CF78" i="11"/>
  <c r="CG78" i="11"/>
  <c r="CH78" i="11"/>
  <c r="CI78" i="11"/>
  <c r="CJ78" i="11"/>
  <c r="CK78" i="11"/>
  <c r="CL78" i="11"/>
  <c r="CM78" i="11"/>
  <c r="CN78" i="11"/>
  <c r="CO78" i="11"/>
  <c r="CP78" i="11"/>
  <c r="CQ78" i="11"/>
  <c r="CR78" i="11"/>
  <c r="CS78" i="11"/>
  <c r="Y79" i="11"/>
  <c r="AL79" i="11"/>
  <c r="AO79" i="11"/>
  <c r="AR79" i="11"/>
  <c r="AV79" i="11"/>
  <c r="AY79" i="11"/>
  <c r="BB79" i="11"/>
  <c r="BE79" i="11"/>
  <c r="BI79" i="11"/>
  <c r="BL79" i="11"/>
  <c r="BO79" i="11"/>
  <c r="BR79" i="11"/>
  <c r="BV79" i="11"/>
  <c r="BY79" i="11"/>
  <c r="CB79" i="11"/>
  <c r="CE79" i="11"/>
  <c r="CI79" i="11"/>
  <c r="CL79" i="11"/>
  <c r="CO79" i="11"/>
  <c r="CR79" i="11"/>
  <c r="Z80" i="11"/>
  <c r="AA80" i="11"/>
  <c r="AB80" i="11"/>
  <c r="AC80" i="11"/>
  <c r="AD80" i="11"/>
  <c r="AE80" i="11"/>
  <c r="AG80" i="11"/>
  <c r="AH80" i="11"/>
  <c r="AI80" i="11"/>
  <c r="AJ80" i="11"/>
  <c r="AK80" i="11"/>
  <c r="AL80" i="11"/>
  <c r="AM80" i="11"/>
  <c r="AN80" i="11"/>
  <c r="AO80" i="11"/>
  <c r="AP80" i="11"/>
  <c r="AQ80" i="11"/>
  <c r="AR80" i="11"/>
  <c r="AT80" i="11"/>
  <c r="AU80" i="11"/>
  <c r="AV80" i="11"/>
  <c r="AW80" i="11"/>
  <c r="AX80" i="11"/>
  <c r="AY80" i="11"/>
  <c r="AZ80" i="11"/>
  <c r="BA80" i="11"/>
  <c r="BB80" i="11"/>
  <c r="BC80" i="11"/>
  <c r="BD80" i="11"/>
  <c r="BE80" i="11"/>
  <c r="BG80" i="11"/>
  <c r="BH80" i="11"/>
  <c r="BI80" i="11"/>
  <c r="BJ80" i="11"/>
  <c r="BK80" i="11"/>
  <c r="BL80" i="11"/>
  <c r="BM80" i="11"/>
  <c r="BN80" i="11"/>
  <c r="BO80" i="11"/>
  <c r="BP80" i="11"/>
  <c r="BQ80" i="11"/>
  <c r="BR80" i="11"/>
  <c r="BT80" i="11"/>
  <c r="BU80" i="11"/>
  <c r="BV80" i="11"/>
  <c r="BW80" i="11"/>
  <c r="BX80" i="11"/>
  <c r="BY80" i="11"/>
  <c r="BZ80" i="11"/>
  <c r="CA80" i="11"/>
  <c r="CB80" i="11"/>
  <c r="CC80" i="11"/>
  <c r="CD80" i="11"/>
  <c r="CG80" i="11"/>
  <c r="CH80" i="11"/>
  <c r="CI80" i="11"/>
  <c r="CJ80" i="11"/>
  <c r="CK80" i="11"/>
  <c r="CL80" i="11"/>
  <c r="CM80" i="11"/>
  <c r="CN80" i="11"/>
  <c r="CO80" i="11"/>
  <c r="CP80" i="11"/>
  <c r="CQ80" i="11"/>
  <c r="AL81" i="11"/>
  <c r="AO81" i="11"/>
  <c r="AR81" i="11"/>
  <c r="AV81" i="11"/>
  <c r="AY81" i="11"/>
  <c r="BB81" i="11"/>
  <c r="BE81" i="11"/>
  <c r="BI81" i="11"/>
  <c r="BL81" i="11"/>
  <c r="BO81" i="11"/>
  <c r="BR81" i="11"/>
  <c r="BV81" i="11"/>
  <c r="BY81" i="11"/>
  <c r="CB81" i="11"/>
  <c r="CI81" i="11"/>
  <c r="CL81" i="11"/>
  <c r="CO81" i="11"/>
  <c r="Z82" i="11"/>
  <c r="AA82" i="11"/>
  <c r="AB82" i="11"/>
  <c r="AC82" i="11"/>
  <c r="AD82" i="11"/>
  <c r="AE82" i="11"/>
  <c r="AG82" i="11"/>
  <c r="AH82" i="11"/>
  <c r="AI82" i="11"/>
  <c r="AJ82" i="11"/>
  <c r="AK82" i="11"/>
  <c r="AL82" i="11"/>
  <c r="AM82" i="11"/>
  <c r="AN82" i="11"/>
  <c r="AO82" i="11"/>
  <c r="AP82" i="11"/>
  <c r="AQ82" i="11"/>
  <c r="AR82" i="11"/>
  <c r="AT82" i="11"/>
  <c r="AU82" i="11"/>
  <c r="AV82" i="11"/>
  <c r="AW82" i="11"/>
  <c r="AX82" i="11"/>
  <c r="AY82" i="11"/>
  <c r="AZ82" i="11"/>
  <c r="BA82" i="11"/>
  <c r="BB82" i="11"/>
  <c r="BC82" i="11"/>
  <c r="BD82" i="11"/>
  <c r="BE82" i="11"/>
  <c r="BG82" i="11"/>
  <c r="BH82" i="11"/>
  <c r="BI82" i="11"/>
  <c r="BJ82" i="11"/>
  <c r="BK82" i="11"/>
  <c r="BL82" i="11"/>
  <c r="BM82" i="11"/>
  <c r="BN82" i="11"/>
  <c r="BO82" i="11"/>
  <c r="BP82" i="11"/>
  <c r="BQ82" i="11"/>
  <c r="BR82" i="11"/>
  <c r="BT82" i="11"/>
  <c r="BU82" i="11"/>
  <c r="BV82" i="11"/>
  <c r="BW82" i="11"/>
  <c r="BX82" i="11"/>
  <c r="BY82" i="11"/>
  <c r="CB82" i="11"/>
  <c r="CC82" i="11"/>
  <c r="CD82" i="11"/>
  <c r="CG82" i="11"/>
  <c r="CH82" i="11"/>
  <c r="CI82" i="11"/>
  <c r="CJ82" i="11"/>
  <c r="CK82" i="11"/>
  <c r="CL82" i="11"/>
  <c r="CO82" i="11"/>
  <c r="CP82" i="11"/>
  <c r="CQ82" i="11"/>
  <c r="AL83" i="11"/>
  <c r="AO83" i="11"/>
  <c r="AR83" i="11"/>
  <c r="AV83" i="11"/>
  <c r="AY83" i="11"/>
  <c r="BB83" i="11"/>
  <c r="BE83" i="11"/>
  <c r="BI83" i="11"/>
  <c r="BL83" i="11"/>
  <c r="BO83" i="11"/>
  <c r="BR83" i="11"/>
  <c r="BV83" i="11"/>
  <c r="BY83" i="11"/>
  <c r="CB83" i="11"/>
  <c r="CI83" i="11"/>
  <c r="CL83" i="11"/>
  <c r="CO83" i="11"/>
  <c r="AL85" i="11"/>
  <c r="AL86" i="11"/>
  <c r="R112" i="9"/>
  <c r="P112" i="9"/>
  <c r="Q112" i="9"/>
  <c r="P92" i="9"/>
  <c r="N92" i="9"/>
  <c r="L92" i="9"/>
  <c r="Q92" i="9"/>
  <c r="R92" i="9"/>
  <c r="R106" i="9"/>
  <c r="P106" i="9"/>
  <c r="Q106" i="9"/>
  <c r="E36" i="9"/>
  <c r="F36" i="9"/>
  <c r="G36" i="9"/>
  <c r="H36" i="9"/>
  <c r="E37" i="9"/>
  <c r="F37" i="9"/>
  <c r="G37" i="9"/>
  <c r="H37" i="9"/>
  <c r="E38" i="9"/>
  <c r="F38" i="9"/>
  <c r="G38" i="9"/>
  <c r="H38" i="9"/>
  <c r="E39" i="9"/>
  <c r="F39" i="9"/>
  <c r="G39" i="9"/>
  <c r="H39" i="9"/>
  <c r="E40" i="9"/>
  <c r="F40" i="9"/>
  <c r="G40" i="9"/>
  <c r="H40" i="9"/>
  <c r="E41" i="9"/>
  <c r="F41" i="9"/>
  <c r="G41" i="9"/>
  <c r="H41" i="9"/>
  <c r="E42" i="9"/>
  <c r="F42" i="9"/>
  <c r="G42" i="9"/>
  <c r="H42" i="9"/>
  <c r="E43" i="9"/>
  <c r="F43" i="9"/>
  <c r="G43" i="9"/>
  <c r="H43" i="9"/>
  <c r="E44" i="9"/>
  <c r="F44" i="9"/>
  <c r="G44" i="9"/>
  <c r="H44" i="9"/>
  <c r="E45" i="9"/>
  <c r="F45" i="9"/>
  <c r="G45" i="9"/>
  <c r="H45" i="9"/>
  <c r="E46" i="9"/>
  <c r="F46" i="9"/>
  <c r="G46" i="9"/>
  <c r="H46" i="9"/>
  <c r="E47" i="9"/>
  <c r="F47" i="9"/>
  <c r="G47" i="9"/>
  <c r="H47" i="9"/>
  <c r="E48" i="9"/>
  <c r="F48" i="9"/>
  <c r="G48" i="9"/>
  <c r="H48" i="9"/>
  <c r="E49" i="9"/>
  <c r="F49" i="9"/>
  <c r="G49" i="9"/>
  <c r="H49" i="9"/>
  <c r="E50" i="9"/>
  <c r="F50" i="9"/>
  <c r="G50" i="9"/>
  <c r="H50" i="9"/>
  <c r="E51" i="9"/>
  <c r="F51" i="9"/>
  <c r="G51" i="9"/>
  <c r="H51" i="9"/>
  <c r="E52" i="9"/>
  <c r="F52" i="9"/>
  <c r="G52" i="9"/>
  <c r="H52" i="9"/>
  <c r="E53" i="9"/>
  <c r="F53" i="9"/>
  <c r="G53" i="9"/>
  <c r="H53" i="9"/>
  <c r="E54" i="9"/>
  <c r="F54" i="9"/>
  <c r="G54" i="9"/>
  <c r="H54" i="9"/>
  <c r="E55" i="9"/>
  <c r="F55" i="9"/>
  <c r="G55" i="9"/>
  <c r="H55" i="9"/>
  <c r="E56" i="9"/>
  <c r="F56" i="9"/>
  <c r="G56" i="9"/>
  <c r="H56" i="9"/>
  <c r="E57" i="9"/>
  <c r="F57" i="9"/>
  <c r="G57" i="9"/>
  <c r="H57" i="9"/>
  <c r="E58" i="9"/>
  <c r="F58" i="9"/>
  <c r="H58" i="9"/>
  <c r="E59" i="9"/>
  <c r="F59" i="9"/>
  <c r="G59" i="9"/>
  <c r="H59" i="9"/>
  <c r="E60" i="9"/>
  <c r="F60" i="9"/>
  <c r="G60" i="9"/>
  <c r="H60" i="9"/>
  <c r="E61" i="9"/>
  <c r="F61" i="9"/>
  <c r="G61" i="9"/>
  <c r="H61" i="9"/>
  <c r="E62" i="9"/>
  <c r="F62" i="9"/>
  <c r="G62" i="9"/>
  <c r="H62" i="9"/>
  <c r="E63" i="9"/>
  <c r="F63" i="9"/>
  <c r="G63" i="9"/>
  <c r="H63" i="9"/>
  <c r="E64" i="9"/>
  <c r="F64" i="9"/>
  <c r="G64" i="9"/>
  <c r="H64" i="9"/>
  <c r="E65" i="9"/>
  <c r="F65" i="9"/>
  <c r="G65" i="9"/>
  <c r="H65" i="9"/>
  <c r="E66" i="9"/>
  <c r="F66" i="9"/>
  <c r="G66" i="9"/>
  <c r="H66" i="9"/>
  <c r="E69" i="9"/>
  <c r="F69" i="9"/>
  <c r="G69" i="9"/>
  <c r="H69" i="9"/>
  <c r="E70" i="9"/>
  <c r="F70" i="9"/>
  <c r="G70" i="9"/>
  <c r="H70" i="9"/>
  <c r="E71" i="9"/>
  <c r="F71" i="9"/>
  <c r="G71" i="9"/>
  <c r="H71" i="9"/>
  <c r="E72" i="9"/>
  <c r="F72" i="9"/>
  <c r="G72" i="9"/>
  <c r="H72" i="9"/>
  <c r="E73" i="9"/>
  <c r="F73" i="9"/>
  <c r="G73" i="9"/>
  <c r="H73" i="9"/>
  <c r="E74" i="9"/>
  <c r="F74" i="9"/>
  <c r="G74" i="9"/>
  <c r="H74" i="9"/>
  <c r="E75" i="9"/>
  <c r="F75" i="9"/>
  <c r="G75" i="9"/>
  <c r="H75" i="9"/>
  <c r="E76" i="9"/>
  <c r="F76" i="9"/>
  <c r="G76" i="9"/>
  <c r="H76" i="9"/>
  <c r="E77" i="9"/>
  <c r="F77" i="9"/>
  <c r="G77" i="9"/>
  <c r="H77" i="9"/>
  <c r="E78" i="9"/>
  <c r="F78" i="9"/>
  <c r="G78" i="9"/>
  <c r="H78" i="9"/>
  <c r="E79" i="9"/>
  <c r="F79" i="9"/>
  <c r="G79" i="9"/>
  <c r="H79" i="9"/>
  <c r="E80" i="9"/>
  <c r="F80" i="9"/>
  <c r="G80" i="9"/>
  <c r="H80" i="9"/>
  <c r="E81" i="9"/>
  <c r="F81" i="9"/>
  <c r="G81" i="9"/>
  <c r="H81" i="9"/>
  <c r="E82" i="9"/>
  <c r="F82" i="9"/>
  <c r="G82" i="9"/>
  <c r="H82" i="9"/>
  <c r="E83" i="9"/>
  <c r="F83" i="9"/>
  <c r="G83" i="9"/>
  <c r="H83" i="9"/>
  <c r="E84" i="9"/>
  <c r="F84" i="9"/>
  <c r="G84" i="9"/>
  <c r="H84" i="9"/>
  <c r="E85" i="9"/>
  <c r="F85" i="9"/>
  <c r="G85" i="9"/>
  <c r="H85" i="9"/>
  <c r="E86" i="9"/>
  <c r="F86" i="9"/>
  <c r="G86" i="9"/>
  <c r="H86" i="9"/>
  <c r="E87" i="9"/>
  <c r="F87" i="9"/>
  <c r="G87" i="9"/>
  <c r="H87" i="9"/>
  <c r="E88" i="9"/>
  <c r="F88" i="9"/>
  <c r="G88" i="9"/>
  <c r="H88" i="9"/>
  <c r="E89" i="9"/>
  <c r="F89" i="9"/>
  <c r="G89" i="9"/>
  <c r="H89" i="9"/>
  <c r="E90" i="9"/>
  <c r="F90" i="9"/>
  <c r="G90" i="9"/>
  <c r="H90" i="9"/>
  <c r="E91" i="9"/>
  <c r="F91" i="9"/>
  <c r="G91" i="9"/>
  <c r="H91" i="9"/>
  <c r="D92" i="9"/>
  <c r="I92" i="9"/>
  <c r="I106" i="9"/>
  <c r="J92" i="9"/>
  <c r="J106" i="9"/>
  <c r="K92" i="9"/>
  <c r="K106" i="9"/>
  <c r="M92" i="9"/>
  <c r="M106" i="9"/>
  <c r="N106" i="9"/>
  <c r="O92" i="9"/>
  <c r="O106" i="9"/>
  <c r="E93" i="9"/>
  <c r="F93" i="9"/>
  <c r="G93" i="9"/>
  <c r="H93" i="9"/>
  <c r="E94" i="9"/>
  <c r="F94" i="9"/>
  <c r="G94" i="9"/>
  <c r="H94" i="9"/>
  <c r="E95" i="9"/>
  <c r="F95" i="9"/>
  <c r="G95" i="9"/>
  <c r="H95" i="9"/>
  <c r="E96" i="9"/>
  <c r="F96" i="9"/>
  <c r="G96" i="9"/>
  <c r="H96" i="9"/>
  <c r="E97" i="9"/>
  <c r="F97" i="9"/>
  <c r="G97" i="9"/>
  <c r="H97" i="9"/>
  <c r="E98" i="9"/>
  <c r="F98" i="9"/>
  <c r="G98" i="9"/>
  <c r="H98" i="9"/>
  <c r="E99" i="9"/>
  <c r="F99" i="9"/>
  <c r="G99" i="9"/>
  <c r="H99" i="9"/>
  <c r="E100" i="9"/>
  <c r="F100" i="9"/>
  <c r="G100" i="9"/>
  <c r="H100" i="9"/>
  <c r="E101" i="9"/>
  <c r="F101" i="9"/>
  <c r="G101" i="9"/>
  <c r="H101" i="9"/>
  <c r="E102" i="9"/>
  <c r="F102" i="9"/>
  <c r="G102" i="9"/>
  <c r="H102" i="9"/>
  <c r="E103" i="9"/>
  <c r="F103" i="9"/>
  <c r="G103" i="9"/>
  <c r="H103" i="9"/>
  <c r="E104" i="9"/>
  <c r="F104" i="9"/>
  <c r="G104" i="9"/>
  <c r="H104" i="9"/>
  <c r="E105" i="9"/>
  <c r="F105" i="9"/>
  <c r="G105" i="9"/>
  <c r="H105" i="9"/>
  <c r="L106" i="9"/>
  <c r="E107" i="9"/>
  <c r="F107" i="9"/>
  <c r="G107" i="9"/>
  <c r="H107" i="9"/>
  <c r="E108" i="9"/>
  <c r="F108" i="9"/>
  <c r="G108" i="9"/>
  <c r="E109" i="9"/>
  <c r="F109" i="9"/>
  <c r="G109" i="9"/>
  <c r="H109" i="9"/>
  <c r="E92" i="9"/>
  <c r="F92" i="9"/>
  <c r="G92" i="9"/>
  <c r="H92" i="9"/>
  <c r="D106" i="9"/>
  <c r="E106" i="9"/>
  <c r="F106" i="9"/>
  <c r="G106" i="9"/>
  <c r="H106" i="9"/>
</calcChain>
</file>

<file path=xl/comments1.xml><?xml version="1.0" encoding="utf-8"?>
<comments xmlns="http://schemas.openxmlformats.org/spreadsheetml/2006/main">
  <authors>
    <author>sakagawa</author>
  </authors>
  <commentList>
    <comment ref="B11" authorId="0">
      <text>
        <r>
          <rPr>
            <b/>
            <sz val="8"/>
            <color indexed="81"/>
            <rFont val="Tahoma"/>
            <family val="2"/>
          </rPr>
          <t>The first part of the equation is NG and the second part is Diesel Fuel.  The 105.4 and 50 are conversion factors for NG.  The 3.785 and 2651 are conversion factors for Diesel Fuel.  Enter "therms" for NG and "Gallons" for Diesel Fuel.</t>
        </r>
      </text>
    </comment>
    <comment ref="E14" authorId="0">
      <text>
        <r>
          <rPr>
            <b/>
            <sz val="8"/>
            <color indexed="81"/>
            <rFont val="Tahoma"/>
            <family val="2"/>
          </rPr>
          <t>sakagawa:</t>
        </r>
        <r>
          <rPr>
            <sz val="8"/>
            <color indexed="81"/>
            <rFont val="Tahoma"/>
            <family val="2"/>
          </rPr>
          <t xml:space="preserve">
This number was "backcast" from 2005.  It is approximately 92.4%</t>
        </r>
      </text>
    </comment>
    <comment ref="B21" authorId="0">
      <text>
        <r>
          <rPr>
            <b/>
            <sz val="8"/>
            <color indexed="81"/>
            <rFont val="Tahoma"/>
            <family val="2"/>
          </rPr>
          <t>sakagawa:</t>
        </r>
        <r>
          <rPr>
            <sz val="8"/>
            <color indexed="81"/>
            <rFont val="Tahoma"/>
            <family val="2"/>
          </rPr>
          <t xml:space="preserve">
This value does not include the carbon from Tacoma and Bothell vehicles which was double counted below.  </t>
        </r>
      </text>
    </comment>
    <comment ref="B26" authorId="0">
      <text>
        <r>
          <rPr>
            <b/>
            <sz val="8"/>
            <color indexed="81"/>
            <rFont val="Tahoma"/>
            <family val="2"/>
          </rPr>
          <t>sakagawa:</t>
        </r>
        <r>
          <rPr>
            <sz val="8"/>
            <color indexed="81"/>
            <rFont val="Tahoma"/>
            <family val="2"/>
          </rPr>
          <t xml:space="preserve">
This value was double counted in the Buildings for Seattle</t>
        </r>
      </text>
    </comment>
    <comment ref="F26" authorId="0">
      <text>
        <r>
          <rPr>
            <b/>
            <sz val="8"/>
            <color indexed="81"/>
            <rFont val="Tahoma"/>
            <family val="2"/>
          </rPr>
          <t>This value was double counted in the original GHG inventory.</t>
        </r>
      </text>
    </comment>
    <comment ref="B27" authorId="0">
      <text>
        <r>
          <rPr>
            <b/>
            <sz val="8"/>
            <color indexed="81"/>
            <rFont val="Tahoma"/>
            <family val="2"/>
          </rPr>
          <t>sakagawa:</t>
        </r>
        <r>
          <rPr>
            <sz val="8"/>
            <color indexed="81"/>
            <rFont val="Tahoma"/>
            <family val="2"/>
          </rPr>
          <t xml:space="preserve">
The vehicle amount was included in the Seattle Vehicles section.</t>
        </r>
      </text>
    </comment>
    <comment ref="B31" authorId="0">
      <text>
        <r>
          <rPr>
            <b/>
            <sz val="8"/>
            <color indexed="81"/>
            <rFont val="Tahoma"/>
            <family val="2"/>
          </rPr>
          <t>Bothell numbers include Cascadia College.  In 2005 it accounted for 21.6% of the total NG consumed.  The 105.4 and 50 are conversion factors for NG.  This value was double counted in buildings for Seattle.</t>
        </r>
      </text>
    </comment>
    <comment ref="F31" authorId="0">
      <text>
        <r>
          <rPr>
            <b/>
            <sz val="8"/>
            <color indexed="81"/>
            <rFont val="Tahoma"/>
            <family val="2"/>
          </rPr>
          <t>This value was double counted in the original GHG inventory.</t>
        </r>
      </text>
    </comment>
    <comment ref="B32" authorId="0">
      <text>
        <r>
          <rPr>
            <b/>
            <sz val="8"/>
            <color indexed="81"/>
            <rFont val="Tahoma"/>
            <family val="2"/>
          </rPr>
          <t>sakagawa:</t>
        </r>
        <r>
          <rPr>
            <sz val="8"/>
            <color indexed="81"/>
            <rFont val="Tahoma"/>
            <family val="2"/>
          </rPr>
          <t xml:space="preserve">
This value was included in the Seattle Vehicles section already.</t>
        </r>
      </text>
    </comment>
    <comment ref="B65" authorId="0">
      <text>
        <r>
          <rPr>
            <b/>
            <sz val="8"/>
            <color indexed="81"/>
            <rFont val="Tahoma"/>
            <family val="2"/>
          </rPr>
          <t>sakagawa:</t>
        </r>
        <r>
          <rPr>
            <sz val="8"/>
            <color indexed="81"/>
            <rFont val="Tahoma"/>
            <family val="2"/>
          </rPr>
          <t xml:space="preserve">
HMC Security Vehicles are included in the Seattle Scope 1 totals.   This number includes steam, Engineering Vehicle and Landscaping Equipment.</t>
        </r>
      </text>
    </comment>
  </commentList>
</comments>
</file>

<file path=xl/sharedStrings.xml><?xml version="1.0" encoding="utf-8"?>
<sst xmlns="http://schemas.openxmlformats.org/spreadsheetml/2006/main" count="230" uniqueCount="77">
  <si>
    <t>MgCo2e</t>
  </si>
  <si>
    <t>Scope 1 - Direct emissions</t>
  </si>
  <si>
    <t>Seattle</t>
  </si>
  <si>
    <t>Buildings</t>
  </si>
  <si>
    <t xml:space="preserve">   Seattle State Funded</t>
  </si>
  <si>
    <t xml:space="preserve">   Seattle Non-State Funded</t>
  </si>
  <si>
    <t xml:space="preserve">      HFS (NG)</t>
  </si>
  <si>
    <t xml:space="preserve">      Hospitals Laundry (NG)</t>
  </si>
  <si>
    <t xml:space="preserve">      Fairmont Olympic Hotel (NG)</t>
  </si>
  <si>
    <t xml:space="preserve">      APL, College of FR</t>
  </si>
  <si>
    <t xml:space="preserve">   Tacoma</t>
  </si>
  <si>
    <t xml:space="preserve">   Bothell</t>
  </si>
  <si>
    <t>Vehicles</t>
  </si>
  <si>
    <t>Landfill</t>
  </si>
  <si>
    <t>Fugitive Gases</t>
  </si>
  <si>
    <t>Subtotal Seattle</t>
  </si>
  <si>
    <t>Tacoma</t>
  </si>
  <si>
    <t>Bothell</t>
  </si>
  <si>
    <t>Outlying</t>
  </si>
  <si>
    <t>Scope 2 - Electricity</t>
  </si>
  <si>
    <t>Central Loop</t>
  </si>
  <si>
    <t>Other State Funded Facilities</t>
  </si>
  <si>
    <t>Non-State Funded - Steam</t>
  </si>
  <si>
    <t xml:space="preserve">   Fairmont Hotel</t>
  </si>
  <si>
    <t xml:space="preserve">   Skinner Building</t>
  </si>
  <si>
    <t xml:space="preserve">   IBM Building</t>
  </si>
  <si>
    <t xml:space="preserve">   Puget Sound Plaza</t>
  </si>
  <si>
    <t>Scope 3 - Other Emissions</t>
  </si>
  <si>
    <t>Student Commuting</t>
  </si>
  <si>
    <t>Faculty and Staff Commuting</t>
  </si>
  <si>
    <t>Professional Travel</t>
  </si>
  <si>
    <t xml:space="preserve">   Off-Campus Medical (HMC)</t>
  </si>
  <si>
    <t xml:space="preserve">   Off-Campus Medical (RPRC)</t>
  </si>
  <si>
    <t>Commuting</t>
  </si>
  <si>
    <t>Total of UW Scope 1, 2 and 3</t>
  </si>
  <si>
    <t>Orange numbers carried over from 2005 (or previous year)</t>
  </si>
  <si>
    <t>Scope 3</t>
  </si>
  <si>
    <t>Subtotal Seattle</t>
    <phoneticPr fontId="1" type="noConversion"/>
  </si>
  <si>
    <t>Total of Seattle, Scope 1,2 and 3</t>
    <phoneticPr fontId="1" type="noConversion"/>
  </si>
  <si>
    <t>GOAL: 15% reduction by 2020</t>
  </si>
  <si>
    <t>Data from UW Engineering</t>
  </si>
  <si>
    <t>Off-Campus Medical</t>
  </si>
  <si>
    <t>TOTAL</t>
  </si>
  <si>
    <t xml:space="preserve">Subtotal </t>
  </si>
  <si>
    <t>UW TOTAL</t>
  </si>
  <si>
    <t>Scope 1</t>
  </si>
  <si>
    <t>Scope 2</t>
  </si>
  <si>
    <t>UW Total</t>
  </si>
  <si>
    <t>UW Greenhouse Gases Metrics</t>
  </si>
  <si>
    <t>Buildings NOT heated by central Power Plant</t>
  </si>
  <si>
    <t>Buildings heated by central power plant</t>
  </si>
  <si>
    <t>2001-2004 data is INTERPOLATED, NOT MEASURED</t>
  </si>
  <si>
    <t>Seattle</t>
    <phoneticPr fontId="1" type="noConversion"/>
  </si>
  <si>
    <t>HDD from SCL site: http://www.seattle.gov/light/ddays.html</t>
  </si>
  <si>
    <t>STEP 5: in the Total of UW Scope 1, 2 and 3 row, the formula for the projected emissions to reach our goal  needs to be changed. Change the equation with the correct info between the &lt; &gt; O105+($X105-$ &lt;letter of newest year's data column&gt; 105)/&lt;# of years to 2020&gt; in each of the projected emissions cells</t>
  </si>
  <si>
    <t>Update the graphs to include the new data.</t>
  </si>
  <si>
    <t xml:space="preserve">Go to http://www.seattle.gov/light/ddays.html and find/calculate the total HDD for the current year. </t>
  </si>
  <si>
    <t>(If you can get David to just enter the data in this spreadsheet and send it back to you, even better.)</t>
  </si>
  <si>
    <t xml:space="preserve">Once the data is received, copy the column for the most recent year and paste it into the 'ALL UW 1, 2 &amp; 3' tab of this spreadsheet. Make sure the data aligns in the appropriate rows. </t>
  </si>
  <si>
    <t xml:space="preserve">Email David Ogrodnik, attach this spreadsheet and reference the dashboard metric on our website. </t>
  </si>
  <si>
    <t>Faculty and Staff</t>
  </si>
  <si>
    <t>Student</t>
  </si>
  <si>
    <t>Scope 1 &amp; 2</t>
  </si>
  <si>
    <t>Total</t>
  </si>
  <si>
    <t>UW Total - Scope 3</t>
  </si>
  <si>
    <t>Off-Campus Medical (TOTAL)</t>
  </si>
  <si>
    <t>UW Total - Scope 2</t>
  </si>
  <si>
    <t>UW Total - Scope 1</t>
  </si>
  <si>
    <t>Subtotal Bothell</t>
  </si>
  <si>
    <t>Subtotal Tacoma</t>
  </si>
  <si>
    <t>Power Plant</t>
  </si>
  <si>
    <t>Code</t>
  </si>
  <si>
    <t xml:space="preserve">ACUPCC </t>
  </si>
  <si>
    <t>Updated 12/29/08</t>
  </si>
  <si>
    <t>NOTE: The cells highlighted in yellow are the ones I copied to the sheet "Annual Scope 1,2 &amp; 3)</t>
    <phoneticPr fontId="2" type="noConversion"/>
  </si>
  <si>
    <t>STEP 2: Find the column for the year to be added, copy and paste it into the GHG tab and update the charts</t>
  </si>
  <si>
    <t>STEP 1: The data below is just an example…go to the data file sent by Guarrin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</si>
</sst>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quot;-&quot;_);@_)"/>
    <numFmt numFmtId="165" formatCode="#,##0;[Red]#,##0"/>
  </numFmts>
  <fonts count="26" x14ac:knownFonts="1">
    <font>
      <sz val="10"/>
      <name val="Arial"/>
    </font>
    <font>
      <sz val="8"/>
      <name val="Verdana"/>
    </font>
    <font>
      <b/>
      <sz val="10"/>
      <name val="Arial"/>
      <family val="2"/>
    </font>
    <font>
      <sz val="10"/>
      <name val="Arial"/>
    </font>
    <font>
      <sz val="9"/>
      <name val="Arial"/>
      <family val="2"/>
    </font>
    <font>
      <u/>
      <sz val="10"/>
      <color theme="10"/>
      <name val="Arial"/>
    </font>
    <font>
      <u/>
      <sz val="10"/>
      <color theme="11"/>
      <name val="Arial"/>
    </font>
    <font>
      <sz val="14"/>
      <color theme="0"/>
      <name val="Trebuchet MS"/>
      <family val="2"/>
    </font>
    <font>
      <sz val="26"/>
      <color theme="0"/>
      <name val="Trebuchet MS"/>
      <family val="2"/>
    </font>
    <font>
      <b/>
      <sz val="12"/>
      <name val="Arial"/>
      <family val="2"/>
    </font>
    <font>
      <sz val="10"/>
      <name val="Arial"/>
      <family val="2"/>
    </font>
    <font>
      <sz val="10"/>
      <color indexed="12"/>
      <name val="Arial"/>
      <family val="2"/>
    </font>
    <font>
      <b/>
      <sz val="10"/>
      <color indexed="14"/>
      <name val="Arial"/>
      <family val="2"/>
    </font>
    <font>
      <sz val="8"/>
      <name val="Arial"/>
    </font>
    <font>
      <sz val="10"/>
      <name val="Calibri"/>
      <family val="2"/>
      <scheme val="minor"/>
    </font>
    <font>
      <sz val="10"/>
      <color indexed="53"/>
      <name val="Arial"/>
      <family val="2"/>
    </font>
    <font>
      <sz val="10"/>
      <color theme="9" tint="-0.249977111117893"/>
      <name val="Arial"/>
      <family val="2"/>
    </font>
    <font>
      <b/>
      <sz val="12"/>
      <color theme="9" tint="-0.249977111117893"/>
      <name val="Arial"/>
      <family val="2"/>
    </font>
    <font>
      <b/>
      <sz val="12"/>
      <color indexed="12"/>
      <name val="Arial"/>
      <family val="2"/>
    </font>
    <font>
      <sz val="10"/>
      <color theme="9"/>
      <name val="Arial"/>
      <family val="2"/>
    </font>
    <font>
      <b/>
      <sz val="10"/>
      <color indexed="10"/>
      <name val="Arial"/>
      <family val="2"/>
    </font>
    <font>
      <sz val="10"/>
      <color indexed="9"/>
      <name val="Arial"/>
      <family val="2"/>
    </font>
    <font>
      <b/>
      <sz val="8"/>
      <color indexed="81"/>
      <name val="Tahoma"/>
      <family val="2"/>
    </font>
    <font>
      <sz val="8"/>
      <color indexed="81"/>
      <name val="Tahoma"/>
      <family val="2"/>
    </font>
    <font>
      <sz val="10"/>
      <color rgb="FF0000D4"/>
      <name val="Arial"/>
      <family val="2"/>
    </font>
    <font>
      <b/>
      <sz val="10"/>
      <color rgb="FFF20884"/>
      <name val="Arial"/>
      <family val="2"/>
    </font>
  </fonts>
  <fills count="13">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
      <patternFill patternType="solid">
        <fgColor rgb="FFF9FD9F"/>
        <bgColor indexed="64"/>
      </patternFill>
    </fill>
    <fill>
      <patternFill patternType="solid">
        <fgColor rgb="FFF6FF8C"/>
        <bgColor indexed="64"/>
      </patternFill>
    </fill>
    <fill>
      <patternFill patternType="solid">
        <fgColor rgb="FFF5FF83"/>
        <bgColor indexed="64"/>
      </patternFill>
    </fill>
    <fill>
      <patternFill patternType="solid">
        <fgColor indexed="43"/>
        <bgColor indexed="64"/>
      </patternFill>
    </fill>
    <fill>
      <patternFill patternType="solid">
        <fgColor indexed="17"/>
        <bgColor indexed="64"/>
      </patternFill>
    </fill>
    <fill>
      <patternFill patternType="solid">
        <fgColor rgb="FF9B6ED1"/>
        <bgColor indexed="64"/>
      </patternFill>
    </fill>
    <fill>
      <patternFill patternType="solid">
        <fgColor theme="7" tint="0.79998168889431442"/>
        <bgColor indexed="64"/>
      </patternFill>
    </fill>
    <fill>
      <patternFill patternType="solid">
        <fgColor rgb="FFFFFF00"/>
        <bgColor rgb="FF000000"/>
      </patternFill>
    </fill>
  </fills>
  <borders count="4">
    <border>
      <left/>
      <right/>
      <top/>
      <bottom/>
      <diagonal/>
    </border>
    <border>
      <left/>
      <right/>
      <top/>
      <bottom style="medium">
        <color auto="1"/>
      </bottom>
      <diagonal/>
    </border>
    <border>
      <left/>
      <right style="thin">
        <color auto="1"/>
      </right>
      <top/>
      <bottom/>
      <diagonal/>
    </border>
    <border>
      <left/>
      <right/>
      <top style="thin">
        <color auto="1"/>
      </top>
      <bottom style="thick">
        <color auto="1"/>
      </bottom>
      <diagonal/>
    </border>
  </borders>
  <cellStyleXfs count="87">
    <xf numFmtId="0" fontId="0" fillId="0" borderId="0"/>
    <xf numFmtId="43" fontId="3" fillId="0" borderId="0" applyFont="0" applyFill="0" applyBorder="0" applyAlignment="0" applyProtection="0"/>
    <xf numFmtId="0" fontId="2" fillId="0" borderId="1"/>
    <xf numFmtId="0" fontId="4" fillId="0" borderId="0">
      <alignment vertical="top"/>
    </xf>
    <xf numFmtId="0" fontId="4" fillId="0" borderId="0">
      <alignment vertical="top"/>
    </xf>
    <xf numFmtId="0" fontId="4" fillId="0" borderId="0">
      <alignment vertical="top"/>
    </xf>
    <xf numFmtId="9" fontId="3" fillId="0" borderId="0" applyFont="0" applyFill="0" applyBorder="0" applyAlignment="0" applyProtection="0"/>
    <xf numFmtId="164" fontId="4" fillId="0" borderId="2" applyFont="0" applyFill="0" applyBorder="0" applyProtection="0">
      <alignment horizontal="right" vertical="top"/>
    </xf>
    <xf numFmtId="0" fontId="4" fillId="0" borderId="3">
      <alignment vertical="top"/>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3" fontId="9" fillId="0" borderId="0" applyNumberFormat="0" applyFill="0" applyBorder="0" applyProtection="0">
      <alignment horizontal="left" vertical="top"/>
    </xf>
    <xf numFmtId="9"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8">
    <xf numFmtId="0" fontId="0" fillId="0" borderId="0" xfId="0"/>
    <xf numFmtId="0" fontId="2" fillId="2" borderId="0" xfId="0" applyFont="1" applyFill="1"/>
    <xf numFmtId="1" fontId="2" fillId="2" borderId="0" xfId="0" applyNumberFormat="1" applyFont="1" applyFill="1"/>
    <xf numFmtId="0" fontId="0" fillId="3" borderId="0" xfId="0" applyFill="1"/>
    <xf numFmtId="0" fontId="2" fillId="3" borderId="0" xfId="0" applyFont="1" applyFill="1"/>
    <xf numFmtId="0" fontId="10" fillId="0" borderId="0" xfId="0" applyFont="1"/>
    <xf numFmtId="10" fontId="0" fillId="0" borderId="0" xfId="84" applyNumberFormat="1" applyFont="1"/>
    <xf numFmtId="9" fontId="0" fillId="0" borderId="0" xfId="84" applyFont="1"/>
    <xf numFmtId="9" fontId="0" fillId="0" borderId="0" xfId="0" applyNumberFormat="1"/>
    <xf numFmtId="3" fontId="11" fillId="0" borderId="0" xfId="3" applyNumberFormat="1" applyFont="1" applyFill="1" applyAlignment="1">
      <alignment horizontal="center"/>
    </xf>
    <xf numFmtId="0" fontId="4" fillId="0" borderId="0" xfId="3" applyAlignment="1"/>
    <xf numFmtId="3" fontId="11" fillId="0" borderId="0" xfId="3" applyNumberFormat="1" applyFont="1" applyFill="1" applyAlignment="1">
      <alignment horizontal="center" vertical="center"/>
    </xf>
    <xf numFmtId="0" fontId="0" fillId="0" borderId="0" xfId="0" applyAlignment="1">
      <alignment horizontal="center" vertical="center"/>
    </xf>
    <xf numFmtId="3" fontId="0" fillId="3" borderId="0" xfId="0" applyNumberFormat="1" applyFill="1" applyAlignment="1">
      <alignment horizontal="center" vertical="center"/>
    </xf>
    <xf numFmtId="3" fontId="0" fillId="0" borderId="0" xfId="0" applyNumberFormat="1" applyAlignment="1">
      <alignment horizontal="center" vertical="center"/>
    </xf>
    <xf numFmtId="3" fontId="0" fillId="2" borderId="0" xfId="0" applyNumberFormat="1" applyFill="1" applyAlignment="1">
      <alignment horizontal="center" vertical="center"/>
    </xf>
    <xf numFmtId="0" fontId="0" fillId="0" borderId="0" xfId="0" applyFill="1" applyAlignment="1">
      <alignment horizontal="center" vertical="center"/>
    </xf>
    <xf numFmtId="3" fontId="0" fillId="0" borderId="0" xfId="0" applyNumberFormat="1" applyFill="1" applyAlignment="1">
      <alignment horizontal="center" vertical="center"/>
    </xf>
    <xf numFmtId="0" fontId="10" fillId="0" borderId="0" xfId="0" applyFont="1" applyAlignment="1">
      <alignment horizontal="center" vertical="center"/>
    </xf>
    <xf numFmtId="0" fontId="14" fillId="0" borderId="0" xfId="0" applyFont="1"/>
    <xf numFmtId="0" fontId="14" fillId="0" borderId="0" xfId="0" applyFont="1" applyFill="1" applyAlignment="1">
      <alignment wrapText="1"/>
    </xf>
    <xf numFmtId="0" fontId="14" fillId="4" borderId="0" xfId="0" applyFont="1" applyFill="1" applyAlignment="1">
      <alignment wrapText="1"/>
    </xf>
    <xf numFmtId="0" fontId="10" fillId="0" borderId="0" xfId="79"/>
    <xf numFmtId="3" fontId="10" fillId="0" borderId="0" xfId="79" applyNumberFormat="1"/>
    <xf numFmtId="0" fontId="10" fillId="0" borderId="0" xfId="79" applyFont="1"/>
    <xf numFmtId="0" fontId="10" fillId="0" borderId="0" xfId="79" applyAlignment="1">
      <alignment horizontal="center"/>
    </xf>
    <xf numFmtId="3" fontId="10" fillId="0" borderId="0" xfId="79" applyNumberFormat="1" applyAlignment="1">
      <alignment horizontal="center"/>
    </xf>
    <xf numFmtId="10" fontId="10" fillId="0" borderId="0" xfId="79" applyNumberFormat="1"/>
    <xf numFmtId="0" fontId="10" fillId="0" borderId="0" xfId="79" applyAlignment="1">
      <alignment horizontal="right"/>
    </xf>
    <xf numFmtId="0" fontId="2" fillId="0" borderId="0" xfId="79" applyFont="1"/>
    <xf numFmtId="3" fontId="10" fillId="0" borderId="0" xfId="79" applyNumberFormat="1" applyAlignment="1">
      <alignment horizontal="right"/>
    </xf>
    <xf numFmtId="0" fontId="15" fillId="0" borderId="0" xfId="79" applyFont="1"/>
    <xf numFmtId="0" fontId="10" fillId="5" borderId="0" xfId="79" applyFill="1"/>
    <xf numFmtId="3" fontId="10" fillId="5" borderId="0" xfId="79" applyNumberFormat="1" applyFill="1"/>
    <xf numFmtId="0" fontId="2" fillId="5" borderId="0" xfId="79" applyFont="1" applyFill="1"/>
    <xf numFmtId="0" fontId="10" fillId="5" borderId="0" xfId="79" applyFill="1" applyAlignment="1">
      <alignment horizontal="center"/>
    </xf>
    <xf numFmtId="3" fontId="10" fillId="5" borderId="0" xfId="79" applyNumberFormat="1" applyFill="1" applyAlignment="1">
      <alignment horizontal="center"/>
    </xf>
    <xf numFmtId="3" fontId="2" fillId="0" borderId="0" xfId="79" applyNumberFormat="1" applyFont="1" applyAlignment="1">
      <alignment horizontal="center"/>
    </xf>
    <xf numFmtId="3" fontId="16" fillId="0" borderId="0" xfId="79" applyNumberFormat="1" applyFont="1" applyAlignment="1">
      <alignment horizontal="center"/>
    </xf>
    <xf numFmtId="3" fontId="10" fillId="0" borderId="0" xfId="79" applyNumberFormat="1" applyFont="1" applyAlignment="1">
      <alignment horizontal="center"/>
    </xf>
    <xf numFmtId="3" fontId="2" fillId="6" borderId="0" xfId="79" applyNumberFormat="1" applyFont="1" applyFill="1" applyAlignment="1">
      <alignment horizontal="center"/>
    </xf>
    <xf numFmtId="3" fontId="2" fillId="7" borderId="0" xfId="79" applyNumberFormat="1" applyFont="1" applyFill="1" applyAlignment="1">
      <alignment horizontal="center"/>
    </xf>
    <xf numFmtId="3" fontId="2" fillId="5" borderId="0" xfId="79" applyNumberFormat="1" applyFont="1" applyFill="1" applyAlignment="1">
      <alignment horizontal="center"/>
    </xf>
    <xf numFmtId="0" fontId="9" fillId="0" borderId="0" xfId="79" applyFont="1"/>
    <xf numFmtId="0" fontId="16" fillId="0" borderId="0" xfId="79" applyFont="1"/>
    <xf numFmtId="3" fontId="10" fillId="6" borderId="0" xfId="79" applyNumberFormat="1" applyFill="1" applyAlignment="1">
      <alignment horizontal="center"/>
    </xf>
    <xf numFmtId="3" fontId="10" fillId="7" borderId="0" xfId="79" applyNumberFormat="1" applyFill="1" applyAlignment="1">
      <alignment horizontal="center"/>
    </xf>
    <xf numFmtId="3" fontId="11" fillId="5" borderId="0" xfId="79" applyNumberFormat="1" applyFont="1" applyFill="1" applyAlignment="1">
      <alignment horizontal="center"/>
    </xf>
    <xf numFmtId="3" fontId="12" fillId="0" borderId="0" xfId="79" applyNumberFormat="1" applyFont="1" applyAlignment="1">
      <alignment horizontal="center"/>
    </xf>
    <xf numFmtId="3" fontId="12" fillId="6" borderId="0" xfId="79" applyNumberFormat="1" applyFont="1" applyFill="1" applyAlignment="1">
      <alignment horizontal="center"/>
    </xf>
    <xf numFmtId="3" fontId="12" fillId="7" borderId="0" xfId="79" applyNumberFormat="1" applyFont="1" applyFill="1" applyAlignment="1">
      <alignment horizontal="center"/>
    </xf>
    <xf numFmtId="3" fontId="12" fillId="5" borderId="0" xfId="79" applyNumberFormat="1" applyFont="1" applyFill="1" applyAlignment="1">
      <alignment horizontal="center"/>
    </xf>
    <xf numFmtId="3" fontId="10" fillId="5" borderId="0" xfId="79" applyNumberFormat="1" applyFont="1" applyFill="1" applyAlignment="1">
      <alignment horizontal="center"/>
    </xf>
    <xf numFmtId="0" fontId="12" fillId="0" borderId="0" xfId="79" applyFont="1"/>
    <xf numFmtId="3" fontId="11" fillId="0" borderId="0" xfId="79" applyNumberFormat="1" applyFont="1" applyAlignment="1">
      <alignment horizontal="center"/>
    </xf>
    <xf numFmtId="3" fontId="11" fillId="6" borderId="0" xfId="79" applyNumberFormat="1" applyFont="1" applyFill="1" applyAlignment="1">
      <alignment horizontal="center"/>
    </xf>
    <xf numFmtId="3" fontId="11" fillId="7" borderId="0" xfId="79" applyNumberFormat="1" applyFont="1" applyFill="1" applyAlignment="1">
      <alignment horizontal="center"/>
    </xf>
    <xf numFmtId="3" fontId="15" fillId="0" borderId="0" xfId="79" applyNumberFormat="1" applyFont="1" applyAlignment="1">
      <alignment horizontal="center"/>
    </xf>
    <xf numFmtId="3" fontId="15" fillId="5" borderId="0" xfId="79" applyNumberFormat="1" applyFont="1" applyFill="1" applyAlignment="1">
      <alignment horizontal="center"/>
    </xf>
    <xf numFmtId="0" fontId="10" fillId="0" borderId="0" xfId="79" applyFont="1" applyAlignment="1">
      <alignment horizontal="center"/>
    </xf>
    <xf numFmtId="0" fontId="9" fillId="0" borderId="0" xfId="79" applyFont="1" applyAlignment="1">
      <alignment horizontal="center"/>
    </xf>
    <xf numFmtId="0" fontId="17" fillId="0" borderId="0" xfId="79" applyFont="1" applyAlignment="1">
      <alignment horizontal="center"/>
    </xf>
    <xf numFmtId="0" fontId="9" fillId="6" borderId="0" xfId="79" applyFont="1" applyFill="1" applyAlignment="1">
      <alignment horizontal="center"/>
    </xf>
    <xf numFmtId="0" fontId="9" fillId="7" borderId="0" xfId="79" applyFont="1" applyFill="1" applyAlignment="1">
      <alignment horizontal="center"/>
    </xf>
    <xf numFmtId="0" fontId="9" fillId="5" borderId="0" xfId="79" applyFont="1" applyFill="1" applyAlignment="1">
      <alignment horizontal="center"/>
    </xf>
    <xf numFmtId="0" fontId="18" fillId="5" borderId="0" xfId="79" applyFont="1" applyFill="1" applyAlignment="1">
      <alignment horizontal="center"/>
    </xf>
    <xf numFmtId="165" fontId="11" fillId="5" borderId="0" xfId="79" applyNumberFormat="1" applyFont="1" applyFill="1" applyAlignment="1">
      <alignment horizontal="center"/>
    </xf>
    <xf numFmtId="165" fontId="16" fillId="0" borderId="0" xfId="79" applyNumberFormat="1" applyFont="1" applyAlignment="1">
      <alignment horizontal="center"/>
    </xf>
    <xf numFmtId="165" fontId="10" fillId="0" borderId="0" xfId="79" applyNumberFormat="1" applyFont="1" applyAlignment="1">
      <alignment horizontal="center"/>
    </xf>
    <xf numFmtId="165" fontId="10" fillId="0" borderId="0" xfId="79" applyNumberFormat="1" applyAlignment="1">
      <alignment horizontal="center"/>
    </xf>
    <xf numFmtId="165" fontId="10" fillId="5" borderId="0" xfId="79" applyNumberFormat="1" applyFill="1" applyAlignment="1">
      <alignment horizontal="center"/>
    </xf>
    <xf numFmtId="0" fontId="16" fillId="0" borderId="0" xfId="79" applyFont="1" applyAlignment="1">
      <alignment horizontal="center"/>
    </xf>
    <xf numFmtId="0" fontId="10" fillId="6" borderId="0" xfId="79" applyFill="1"/>
    <xf numFmtId="0" fontId="10" fillId="7" borderId="0" xfId="79" applyFill="1"/>
    <xf numFmtId="0" fontId="9" fillId="6" borderId="0" xfId="79" applyFont="1" applyFill="1"/>
    <xf numFmtId="0" fontId="9" fillId="7" borderId="0" xfId="79" applyFont="1" applyFill="1"/>
    <xf numFmtId="0" fontId="9" fillId="5" borderId="0" xfId="79" applyFont="1" applyFill="1"/>
    <xf numFmtId="3" fontId="19" fillId="0" borderId="0" xfId="79" applyNumberFormat="1" applyFont="1" applyAlignment="1">
      <alignment horizontal="center"/>
    </xf>
    <xf numFmtId="0" fontId="10" fillId="6" borderId="0" xfId="79" applyFill="1" applyAlignment="1">
      <alignment horizontal="center"/>
    </xf>
    <xf numFmtId="0" fontId="10" fillId="7" borderId="0" xfId="79" applyFill="1" applyAlignment="1">
      <alignment horizontal="center"/>
    </xf>
    <xf numFmtId="1" fontId="18" fillId="0" borderId="0" xfId="79" applyNumberFormat="1" applyFont="1" applyAlignment="1">
      <alignment horizontal="center"/>
    </xf>
    <xf numFmtId="17" fontId="9" fillId="0" borderId="0" xfId="79" applyNumberFormat="1" applyFont="1" applyAlignment="1">
      <alignment horizontal="center"/>
    </xf>
    <xf numFmtId="1" fontId="18" fillId="6" borderId="0" xfId="79" applyNumberFormat="1" applyFont="1" applyFill="1" applyAlignment="1">
      <alignment horizontal="center"/>
    </xf>
    <xf numFmtId="1" fontId="18" fillId="7" borderId="0" xfId="79" applyNumberFormat="1" applyFont="1" applyFill="1" applyAlignment="1">
      <alignment horizontal="center"/>
    </xf>
    <xf numFmtId="1" fontId="18" fillId="5" borderId="0" xfId="79" applyNumberFormat="1" applyFont="1" applyFill="1" applyAlignment="1">
      <alignment horizontal="center"/>
    </xf>
    <xf numFmtId="17" fontId="9" fillId="5" borderId="0" xfId="79" applyNumberFormat="1" applyFont="1" applyFill="1" applyAlignment="1">
      <alignment horizontal="center"/>
    </xf>
    <xf numFmtId="0" fontId="2" fillId="0" borderId="0" xfId="79" applyFont="1" applyAlignment="1">
      <alignment horizontal="center"/>
    </xf>
    <xf numFmtId="0" fontId="20" fillId="0" borderId="0" xfId="79" applyFont="1"/>
    <xf numFmtId="0" fontId="10" fillId="8" borderId="0" xfId="79" applyFill="1" applyAlignment="1">
      <alignment horizontal="center"/>
    </xf>
    <xf numFmtId="0" fontId="21" fillId="9" borderId="0" xfId="79" applyFont="1" applyFill="1" applyAlignment="1">
      <alignment horizontal="center"/>
    </xf>
    <xf numFmtId="3" fontId="21" fillId="9" borderId="0" xfId="79" applyNumberFormat="1" applyFont="1" applyFill="1" applyAlignment="1">
      <alignment horizontal="center"/>
    </xf>
    <xf numFmtId="0" fontId="21" fillId="9" borderId="0" xfId="79" applyFont="1" applyFill="1"/>
    <xf numFmtId="0" fontId="10" fillId="4" borderId="0" xfId="79" applyFill="1" applyAlignment="1">
      <alignment horizontal="center"/>
    </xf>
    <xf numFmtId="3" fontId="10" fillId="4" borderId="0" xfId="79" applyNumberFormat="1" applyFill="1" applyAlignment="1">
      <alignment horizontal="center"/>
    </xf>
    <xf numFmtId="0" fontId="10" fillId="4" borderId="0" xfId="79" applyFill="1"/>
    <xf numFmtId="0" fontId="10" fillId="0" borderId="0" xfId="79" applyFill="1"/>
    <xf numFmtId="0" fontId="0" fillId="2" borderId="0" xfId="0" applyFill="1" applyAlignment="1">
      <alignment horizontal="center" vertical="center"/>
    </xf>
    <xf numFmtId="3" fontId="0" fillId="0" borderId="0" xfId="0" applyNumberFormat="1"/>
    <xf numFmtId="0" fontId="0" fillId="11" borderId="0" xfId="0" applyFill="1" applyAlignment="1">
      <alignment horizontal="center" vertical="center"/>
    </xf>
    <xf numFmtId="3" fontId="12" fillId="11" borderId="0" xfId="3" applyNumberFormat="1" applyFont="1" applyFill="1" applyAlignment="1">
      <alignment horizontal="center" vertical="center"/>
    </xf>
    <xf numFmtId="3" fontId="0" fillId="11" borderId="0" xfId="0" applyNumberFormat="1" applyFill="1" applyAlignment="1">
      <alignment horizontal="center" vertical="center"/>
    </xf>
    <xf numFmtId="3" fontId="0" fillId="11" borderId="0" xfId="0" applyNumberFormat="1" applyFill="1"/>
    <xf numFmtId="0" fontId="0" fillId="11" borderId="0" xfId="0" applyFill="1"/>
    <xf numFmtId="3" fontId="24" fillId="0" borderId="0" xfId="0" applyNumberFormat="1" applyFont="1" applyAlignment="1">
      <alignment horizontal="center" vertical="center"/>
    </xf>
    <xf numFmtId="3" fontId="25" fillId="0" borderId="0" xfId="0" applyNumberFormat="1" applyFont="1" applyAlignment="1">
      <alignment horizontal="center" vertical="center"/>
    </xf>
    <xf numFmtId="3" fontId="0" fillId="12" borderId="0" xfId="0" applyNumberFormat="1" applyFill="1" applyAlignment="1">
      <alignment horizontal="center" vertical="center"/>
    </xf>
    <xf numFmtId="0" fontId="8" fillId="10" borderId="0" xfId="0" applyFont="1" applyFill="1" applyAlignment="1">
      <alignment horizontal="left" indent="4"/>
    </xf>
    <xf numFmtId="0" fontId="7" fillId="10" borderId="0" xfId="0" applyFont="1" applyFill="1" applyAlignment="1">
      <alignment horizontal="left" indent="8"/>
    </xf>
  </cellXfs>
  <cellStyles count="87">
    <cellStyle name="Comma 2" xfId="1"/>
    <cellStyle name="Comma 2 2" xfId="80"/>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6" builtinId="9" hidden="1"/>
    <cellStyle name="Heading" xfId="2"/>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85" builtinId="8" hidden="1"/>
    <cellStyle name="Normal" xfId="0" builtinId="0"/>
    <cellStyle name="Normal 2" xfId="3"/>
    <cellStyle name="Normal 3" xfId="4"/>
    <cellStyle name="Normal 4" xfId="5"/>
    <cellStyle name="Normal 5" xfId="79"/>
    <cellStyle name="Percent" xfId="84" builtinId="5"/>
    <cellStyle name="Percent 2" xfId="6"/>
    <cellStyle name="Percent 2 2" xfId="81"/>
    <cellStyle name="Percent 3" xfId="82"/>
    <cellStyle name="tableData" xfId="7"/>
    <cellStyle name="text" xfId="8"/>
    <cellStyle name="Title 2" xfId="83"/>
  </cellStyles>
  <dxfs count="0"/>
  <tableStyles count="0" defaultTableStyle="TableStyleMedium9" defaultPivotStyle="PivotStyleMedium4"/>
  <colors>
    <mruColors>
      <color rgb="FF9B6ED1"/>
      <color rgb="FF7C3FC3"/>
      <color rgb="FF39006F"/>
      <color rgb="FFD6C0EF"/>
      <color rgb="FFBA9BDE"/>
      <color rgb="FF33006F"/>
      <color rgb="FFAE6EF8"/>
      <color rgb="FFB175F6"/>
      <color rgb="FFCACAC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cap="all">
                <a:solidFill>
                  <a:srgbClr val="33006F"/>
                </a:solidFill>
                <a:latin typeface="Encode Sans Narrow Black"/>
              </a:defRPr>
            </a:pPr>
            <a:r>
              <a:rPr lang="en-US" sz="1800" b="0" cap="all">
                <a:solidFill>
                  <a:srgbClr val="33006F"/>
                </a:solidFill>
                <a:latin typeface="Encode Sans Narrow Black"/>
              </a:rPr>
              <a:t>UW GHG Emissions from Other Indirect Sources </a:t>
            </a:r>
            <a:r>
              <a:rPr lang="en-US" sz="1800" b="0" cap="all" baseline="0">
                <a:solidFill>
                  <a:srgbClr val="33006F"/>
                </a:solidFill>
                <a:latin typeface="Encode Sans Narrow Black"/>
              </a:rPr>
              <a:t> </a:t>
            </a:r>
            <a:r>
              <a:rPr lang="en-US" sz="1800" b="0" cap="all">
                <a:solidFill>
                  <a:srgbClr val="33006F"/>
                </a:solidFill>
                <a:latin typeface="Encode Sans Narrow Black"/>
              </a:rPr>
              <a:t>(Scope 3)</a:t>
            </a:r>
          </a:p>
        </c:rich>
      </c:tx>
      <c:layout>
        <c:manualLayout>
          <c:xMode val="edge"/>
          <c:yMode val="edge"/>
          <c:x val="0.218335955218945"/>
          <c:y val="0.00216353977212898"/>
        </c:manualLayout>
      </c:layout>
      <c:overlay val="1"/>
    </c:title>
    <c:autoTitleDeleted val="0"/>
    <c:plotArea>
      <c:layout>
        <c:manualLayout>
          <c:layoutTarget val="inner"/>
          <c:xMode val="edge"/>
          <c:yMode val="edge"/>
          <c:x val="0.155635410130723"/>
          <c:y val="0.137609920465437"/>
          <c:w val="0.809030356265211"/>
          <c:h val="0.759360974139566"/>
        </c:manualLayout>
      </c:layout>
      <c:areaChart>
        <c:grouping val="stacked"/>
        <c:varyColors val="0"/>
        <c:ser>
          <c:idx val="8"/>
          <c:order val="0"/>
          <c:tx>
            <c:strRef>
              <c:f>'All UW 1,2 &amp; 3'!$A$94:$B$94</c:f>
              <c:strCache>
                <c:ptCount val="2"/>
                <c:pt idx="0">
                  <c:v>Tacoma</c:v>
                </c:pt>
                <c:pt idx="1">
                  <c:v>Professional Travel</c:v>
                </c:pt>
              </c:strCache>
            </c:strRef>
          </c:tx>
          <c:spPr>
            <a:solidFill>
              <a:srgbClr val="D6C0EF"/>
            </a:solidFill>
            <a:ln w="25400">
              <a:noFill/>
            </a:ln>
          </c:spPr>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3'!$D$94:$S$94</c:f>
              <c:numCache>
                <c:formatCode>#,##0</c:formatCode>
                <c:ptCount val="16"/>
                <c:pt idx="1">
                  <c:v>89.75</c:v>
                </c:pt>
                <c:pt idx="2">
                  <c:v>157.0625</c:v>
                </c:pt>
                <c:pt idx="3">
                  <c:v>207.546875</c:v>
                </c:pt>
                <c:pt idx="4">
                  <c:v>245.41015625</c:v>
                </c:pt>
                <c:pt idx="5">
                  <c:v>359.0</c:v>
                </c:pt>
                <c:pt idx="6">
                  <c:v>359.0000000000001</c:v>
                </c:pt>
                <c:pt idx="7">
                  <c:v>359.0000000000001</c:v>
                </c:pt>
                <c:pt idx="8">
                  <c:v>359.0000000000001</c:v>
                </c:pt>
                <c:pt idx="9">
                  <c:v>382.4004683894058</c:v>
                </c:pt>
                <c:pt idx="10">
                  <c:v>431.4396044291331</c:v>
                </c:pt>
                <c:pt idx="11">
                  <c:v>474.0</c:v>
                </c:pt>
                <c:pt idx="12">
                  <c:v>457.0</c:v>
                </c:pt>
                <c:pt idx="13">
                  <c:v>471.0</c:v>
                </c:pt>
                <c:pt idx="14">
                  <c:v>1488.0</c:v>
                </c:pt>
                <c:pt idx="15" formatCode="General">
                  <c:v>585.0</c:v>
                </c:pt>
              </c:numCache>
            </c:numRef>
          </c:val>
          <c:extLst xmlns:c16r2="http://schemas.microsoft.com/office/drawing/2015/06/chart"/>
        </c:ser>
        <c:ser>
          <c:idx val="7"/>
          <c:order val="1"/>
          <c:tx>
            <c:strRef>
              <c:f>'All UW 1,2 &amp; 3'!$A$93:$B$93</c:f>
              <c:strCache>
                <c:ptCount val="2"/>
                <c:pt idx="0">
                  <c:v>Tacoma</c:v>
                </c:pt>
                <c:pt idx="1">
                  <c:v>Commuting</c:v>
                </c:pt>
              </c:strCache>
            </c:strRef>
          </c:tx>
          <c:spPr>
            <a:solidFill>
              <a:srgbClr val="D6C0EF"/>
            </a:solidFill>
            <a:ln>
              <a:solidFill>
                <a:schemeClr val="bg1"/>
              </a:solidFill>
            </a:ln>
          </c:spPr>
          <c:dLbls>
            <c:dLbl>
              <c:idx val="0"/>
              <c:layout>
                <c:manualLayout>
                  <c:x val="0.281292128336171"/>
                  <c:y val="-0.0559290338587046"/>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Lst>
            </c:dLbl>
            <c:spPr>
              <a:noFill/>
              <a:ln>
                <a:noFill/>
              </a:ln>
              <a:effectLst/>
            </c:spPr>
            <c:txPr>
              <a:bodyPr/>
              <a:lstStyle/>
              <a:p>
                <a:pPr>
                  <a:defRPr sz="9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3'!$D$93:$T$93</c:f>
              <c:numCache>
                <c:formatCode>#,##0</c:formatCode>
                <c:ptCount val="17"/>
                <c:pt idx="0">
                  <c:v>2150.0</c:v>
                </c:pt>
                <c:pt idx="1">
                  <c:v>2110.25</c:v>
                </c:pt>
                <c:pt idx="2">
                  <c:v>2080.4375</c:v>
                </c:pt>
                <c:pt idx="3">
                  <c:v>2058.078125</c:v>
                </c:pt>
                <c:pt idx="4">
                  <c:v>2041.30859375</c:v>
                </c:pt>
                <c:pt idx="5">
                  <c:v>1991.0</c:v>
                </c:pt>
                <c:pt idx="6">
                  <c:v>1991.0</c:v>
                </c:pt>
                <c:pt idx="7">
                  <c:v>1991.0</c:v>
                </c:pt>
                <c:pt idx="8">
                  <c:v>1991.0</c:v>
                </c:pt>
                <c:pt idx="9">
                  <c:v>1858.526840924282</c:v>
                </c:pt>
                <c:pt idx="10">
                  <c:v>1813.999495902237</c:v>
                </c:pt>
                <c:pt idx="11">
                  <c:v>1868.0</c:v>
                </c:pt>
                <c:pt idx="12">
                  <c:v>1978.0</c:v>
                </c:pt>
                <c:pt idx="13">
                  <c:v>1984.0</c:v>
                </c:pt>
                <c:pt idx="14">
                  <c:v>2299.0</c:v>
                </c:pt>
                <c:pt idx="15">
                  <c:v>2940.0</c:v>
                </c:pt>
                <c:pt idx="16">
                  <c:v>2673.0</c:v>
                </c:pt>
              </c:numCache>
            </c:numRef>
          </c:val>
          <c:extLst xmlns:c16r2="http://schemas.microsoft.com/office/drawing/2015/06/chart"/>
        </c:ser>
        <c:ser>
          <c:idx val="11"/>
          <c:order val="2"/>
          <c:tx>
            <c:strRef>
              <c:f>'All UW 1,2 &amp; 3'!$A$97:$B$97</c:f>
              <c:strCache>
                <c:ptCount val="2"/>
                <c:pt idx="0">
                  <c:v>Bothell</c:v>
                </c:pt>
                <c:pt idx="1">
                  <c:v>Professional Travel</c:v>
                </c:pt>
              </c:strCache>
            </c:strRef>
          </c:tx>
          <c:spPr>
            <a:solidFill>
              <a:schemeClr val="bg2">
                <a:lumMod val="25000"/>
              </a:schemeClr>
            </a:solidFill>
            <a:ln w="25400">
              <a:noFill/>
            </a:ln>
          </c:spPr>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3'!$D$97:$T$97</c:f>
              <c:numCache>
                <c:formatCode>#,##0</c:formatCode>
                <c:ptCount val="17"/>
                <c:pt idx="1">
                  <c:v>68.75</c:v>
                </c:pt>
                <c:pt idx="2">
                  <c:v>120.3125</c:v>
                </c:pt>
                <c:pt idx="3">
                  <c:v>158.984375</c:v>
                </c:pt>
                <c:pt idx="4">
                  <c:v>187.98828125</c:v>
                </c:pt>
                <c:pt idx="5">
                  <c:v>275.0</c:v>
                </c:pt>
                <c:pt idx="6">
                  <c:v>274.9999999999999</c:v>
                </c:pt>
                <c:pt idx="7">
                  <c:v>274.9999999999999</c:v>
                </c:pt>
                <c:pt idx="8">
                  <c:v>274.9999999999999</c:v>
                </c:pt>
                <c:pt idx="9">
                  <c:v>300.7906123306912</c:v>
                </c:pt>
                <c:pt idx="10">
                  <c:v>339.3640790936474</c:v>
                </c:pt>
                <c:pt idx="11">
                  <c:v>444.0</c:v>
                </c:pt>
                <c:pt idx="12">
                  <c:v>428.0</c:v>
                </c:pt>
                <c:pt idx="13">
                  <c:v>441.0</c:v>
                </c:pt>
                <c:pt idx="14">
                  <c:v>1548.0</c:v>
                </c:pt>
                <c:pt idx="15" formatCode="General">
                  <c:v>744.0</c:v>
                </c:pt>
                <c:pt idx="16">
                  <c:v>573.0</c:v>
                </c:pt>
              </c:numCache>
            </c:numRef>
          </c:val>
          <c:extLst xmlns:c16r2="http://schemas.microsoft.com/office/drawing/2015/06/chart"/>
        </c:ser>
        <c:ser>
          <c:idx val="10"/>
          <c:order val="3"/>
          <c:tx>
            <c:strRef>
              <c:f>'All UW 1,2 &amp; 3'!$A$96:$B$96</c:f>
              <c:strCache>
                <c:ptCount val="2"/>
                <c:pt idx="0">
                  <c:v>Bothell</c:v>
                </c:pt>
                <c:pt idx="1">
                  <c:v>Commuting</c:v>
                </c:pt>
              </c:strCache>
            </c:strRef>
          </c:tx>
          <c:spPr>
            <a:solidFill>
              <a:srgbClr val="D6C0EF"/>
            </a:solidFill>
            <a:ln w="25400">
              <a:solidFill>
                <a:schemeClr val="bg1"/>
              </a:solidFill>
            </a:ln>
          </c:spPr>
          <c:dLbls>
            <c:dLbl>
              <c:idx val="0"/>
              <c:layout>
                <c:manualLayout>
                  <c:x val="0.263184204543778"/>
                  <c:y val="-0.0875348255484645"/>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Lst>
            </c:dLbl>
            <c:spPr>
              <a:noFill/>
              <a:ln>
                <a:noFill/>
              </a:ln>
              <a:effectLst/>
            </c:spPr>
            <c:txPr>
              <a:bodyPr/>
              <a:lstStyle/>
              <a:p>
                <a:pPr>
                  <a:defRPr sz="9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3'!$D$96:$T$96</c:f>
              <c:numCache>
                <c:formatCode>#,##0</c:formatCode>
                <c:ptCount val="17"/>
                <c:pt idx="0">
                  <c:v>1385.0</c:v>
                </c:pt>
                <c:pt idx="1">
                  <c:v>1362.75</c:v>
                </c:pt>
                <c:pt idx="2">
                  <c:v>1346.0625</c:v>
                </c:pt>
                <c:pt idx="3">
                  <c:v>1333.546875</c:v>
                </c:pt>
                <c:pt idx="4">
                  <c:v>1324.16015625</c:v>
                </c:pt>
                <c:pt idx="5">
                  <c:v>1296.0</c:v>
                </c:pt>
                <c:pt idx="6">
                  <c:v>1296.0</c:v>
                </c:pt>
                <c:pt idx="7">
                  <c:v>1296.0</c:v>
                </c:pt>
                <c:pt idx="8">
                  <c:v>1296.0</c:v>
                </c:pt>
                <c:pt idx="9">
                  <c:v>1302.644571573357</c:v>
                </c:pt>
                <c:pt idx="10">
                  <c:v>1882.428794307306</c:v>
                </c:pt>
                <c:pt idx="11">
                  <c:v>2019.0</c:v>
                </c:pt>
                <c:pt idx="12">
                  <c:v>2206.0</c:v>
                </c:pt>
                <c:pt idx="13">
                  <c:v>2218.0</c:v>
                </c:pt>
                <c:pt idx="14">
                  <c:v>2071.0</c:v>
                </c:pt>
                <c:pt idx="15">
                  <c:v>4156.0</c:v>
                </c:pt>
                <c:pt idx="16">
                  <c:v>3578.0</c:v>
                </c:pt>
              </c:numCache>
            </c:numRef>
          </c:val>
          <c:extLst xmlns:c16r2="http://schemas.microsoft.com/office/drawing/2015/06/chart"/>
        </c:ser>
        <c:ser>
          <c:idx val="13"/>
          <c:order val="4"/>
          <c:tx>
            <c:strRef>
              <c:f>'All UW 1,2 &amp; 3'!$A$99:$B$99</c:f>
              <c:strCache>
                <c:ptCount val="2"/>
                <c:pt idx="0">
                  <c:v>Outlying</c:v>
                </c:pt>
                <c:pt idx="1">
                  <c:v>Professional Travel</c:v>
                </c:pt>
              </c:strCache>
            </c:strRef>
          </c:tx>
          <c:spPr>
            <a:solidFill>
              <a:schemeClr val="bg2">
                <a:lumMod val="75000"/>
              </a:schemeClr>
            </a:solidFill>
            <a:ln w="25400">
              <a:noFill/>
            </a:ln>
          </c:spPr>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3'!$D$99:$S$99</c:f>
              <c:numCache>
                <c:formatCode>#,##0</c:formatCode>
                <c:ptCount val="16"/>
                <c:pt idx="0">
                  <c:v>55.0</c:v>
                </c:pt>
                <c:pt idx="1">
                  <c:v>56.75</c:v>
                </c:pt>
                <c:pt idx="2">
                  <c:v>58.0625</c:v>
                </c:pt>
                <c:pt idx="3">
                  <c:v>59.046875</c:v>
                </c:pt>
                <c:pt idx="4">
                  <c:v>59.78515625</c:v>
                </c:pt>
                <c:pt idx="5">
                  <c:v>62.0</c:v>
                </c:pt>
                <c:pt idx="6">
                  <c:v>62</c:v>
                </c:pt>
                <c:pt idx="7">
                  <c:v>62</c:v>
                </c:pt>
                <c:pt idx="8">
                  <c:v>62</c:v>
                </c:pt>
                <c:pt idx="9">
                  <c:v>62</c:v>
                </c:pt>
                <c:pt idx="10">
                  <c:v>62</c:v>
                </c:pt>
                <c:pt idx="11">
                  <c:v>62.0</c:v>
                </c:pt>
                <c:pt idx="12">
                  <c:v>62.0</c:v>
                </c:pt>
                <c:pt idx="13">
                  <c:v>62.0</c:v>
                </c:pt>
                <c:pt idx="14">
                  <c:v>62.0</c:v>
                </c:pt>
                <c:pt idx="15" formatCode="General">
                  <c:v>62.0</c:v>
                </c:pt>
              </c:numCache>
            </c:numRef>
          </c:val>
          <c:extLst xmlns:c16r2="http://schemas.microsoft.com/office/drawing/2015/06/chart"/>
        </c:ser>
        <c:ser>
          <c:idx val="2"/>
          <c:order val="5"/>
          <c:tx>
            <c:strRef>
              <c:f>'All UW 1,2 &amp; 3'!$A$88:$B$88</c:f>
              <c:strCache>
                <c:ptCount val="2"/>
                <c:pt idx="0">
                  <c:v>Seattle</c:v>
                </c:pt>
                <c:pt idx="1">
                  <c:v>Professional Travel</c:v>
                </c:pt>
              </c:strCache>
            </c:strRef>
          </c:tx>
          <c:spPr>
            <a:solidFill>
              <a:srgbClr val="D6C0EF"/>
            </a:solidFill>
            <a:ln>
              <a:solidFill>
                <a:schemeClr val="bg1"/>
              </a:solidFill>
            </a:ln>
          </c:spPr>
          <c:dLbls>
            <c:dLbl>
              <c:idx val="0"/>
              <c:layout>
                <c:manualLayout>
                  <c:x val="0.00712779176521166"/>
                  <c:y val="0.0124049604213388"/>
                </c:manualLayout>
              </c:layout>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sz="9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3'!$D$88:$T$88</c:f>
              <c:numCache>
                <c:formatCode>#,##0</c:formatCode>
                <c:ptCount val="17"/>
                <c:pt idx="0">
                  <c:v>16700.0</c:v>
                </c:pt>
                <c:pt idx="1">
                  <c:v>17200.0</c:v>
                </c:pt>
                <c:pt idx="2">
                  <c:v>16639.30959900036</c:v>
                </c:pt>
                <c:pt idx="3">
                  <c:v>17038.76461152717</c:v>
                </c:pt>
                <c:pt idx="4">
                  <c:v>17813.85899522631</c:v>
                </c:pt>
                <c:pt idx="5">
                  <c:v>18700.0</c:v>
                </c:pt>
                <c:pt idx="6">
                  <c:v>14957.23839600144</c:v>
                </c:pt>
                <c:pt idx="7">
                  <c:v>18237.1296491076</c:v>
                </c:pt>
                <c:pt idx="8">
                  <c:v>20139.14214632375</c:v>
                </c:pt>
                <c:pt idx="9">
                  <c:v>15230.73085072926</c:v>
                </c:pt>
                <c:pt idx="10">
                  <c:v>17183.92375689694</c:v>
                </c:pt>
                <c:pt idx="11">
                  <c:v>18425.0</c:v>
                </c:pt>
                <c:pt idx="12">
                  <c:v>17756.0</c:v>
                </c:pt>
                <c:pt idx="13">
                  <c:v>18318.0</c:v>
                </c:pt>
                <c:pt idx="14">
                  <c:v>14715.0</c:v>
                </c:pt>
                <c:pt idx="15">
                  <c:v>16690.0</c:v>
                </c:pt>
                <c:pt idx="16">
                  <c:v>14251.0</c:v>
                </c:pt>
              </c:numCache>
            </c:numRef>
          </c:val>
          <c:extLst xmlns:c16r2="http://schemas.microsoft.com/office/drawing/2015/06/chart"/>
        </c:ser>
        <c:ser>
          <c:idx val="5"/>
          <c:order val="6"/>
          <c:tx>
            <c:strRef>
              <c:f>'All UW 1,2 &amp; 3'!$A$89:$B$89</c:f>
              <c:strCache>
                <c:ptCount val="2"/>
                <c:pt idx="0">
                  <c:v>Seattle</c:v>
                </c:pt>
                <c:pt idx="1">
                  <c:v>Off-Campus Medical</c:v>
                </c:pt>
              </c:strCache>
            </c:strRef>
          </c:tx>
          <c:spPr>
            <a:solidFill>
              <a:srgbClr val="D6C0EF"/>
            </a:solidFill>
            <a:ln>
              <a:solidFill>
                <a:schemeClr val="bg1"/>
              </a:solidFill>
            </a:ln>
          </c:spPr>
          <c:dLbls>
            <c:dLbl>
              <c:idx val="0"/>
              <c:layout>
                <c:manualLayout>
                  <c:x val="0.00149369139412198"/>
                  <c:y val="0.0200527097805417"/>
                </c:manualLayout>
              </c:layout>
              <c:spPr>
                <a:noFill/>
                <a:ln>
                  <a:noFill/>
                </a:ln>
                <a:effectLst/>
              </c:spPr>
              <c:txPr>
                <a:bodyPr/>
                <a:lstStyle/>
                <a:p>
                  <a:pPr>
                    <a:defRPr sz="9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extLst xmlns:c16r2="http://schemas.microsoft.com/office/drawing/2015/06/chart">
                <c:ext xmlns:c15="http://schemas.microsoft.com/office/drawing/2012/chart" uri="{CE6537A1-D6FC-4f65-9D91-7224C49458BB}"/>
              </c:extLst>
            </c:dLbl>
            <c:spPr>
              <a:noFill/>
              <a:ln>
                <a:noFill/>
              </a:ln>
              <a:effectLst/>
            </c:spPr>
            <c:txPr>
              <a:bodyPr/>
              <a:lstStyle/>
              <a:p>
                <a:pPr>
                  <a:defRPr sz="9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3'!$D$89:$T$89</c:f>
              <c:numCache>
                <c:formatCode>#,##0</c:formatCode>
                <c:ptCount val="17"/>
                <c:pt idx="0">
                  <c:v>16653.43</c:v>
                </c:pt>
                <c:pt idx="1">
                  <c:v>15630.0725</c:v>
                </c:pt>
                <c:pt idx="2">
                  <c:v>15020.81894567525</c:v>
                </c:pt>
                <c:pt idx="3">
                  <c:v>14647.92942654269</c:v>
                </c:pt>
                <c:pt idx="4">
                  <c:v>14823.10583288448</c:v>
                </c:pt>
                <c:pt idx="5">
                  <c:v>12560.0</c:v>
                </c:pt>
                <c:pt idx="6">
                  <c:v>13193.058282701</c:v>
                </c:pt>
                <c:pt idx="7">
                  <c:v>13529.260869145</c:v>
                </c:pt>
                <c:pt idx="8">
                  <c:v>15348.63505190985</c:v>
                </c:pt>
                <c:pt idx="9">
                  <c:v>15884.6325427</c:v>
                </c:pt>
                <c:pt idx="10">
                  <c:v>14469.4576445</c:v>
                </c:pt>
                <c:pt idx="11">
                  <c:v>15126.0</c:v>
                </c:pt>
                <c:pt idx="12">
                  <c:v>14801.0</c:v>
                </c:pt>
                <c:pt idx="13">
                  <c:v>14573.0</c:v>
                </c:pt>
                <c:pt idx="14">
                  <c:v>12982.0</c:v>
                </c:pt>
                <c:pt idx="15">
                  <c:v>12463.0</c:v>
                </c:pt>
                <c:pt idx="16">
                  <c:v>13216.0</c:v>
                </c:pt>
              </c:numCache>
            </c:numRef>
          </c:val>
          <c:extLst xmlns:c16r2="http://schemas.microsoft.com/office/drawing/2015/06/chart"/>
        </c:ser>
        <c:ser>
          <c:idx val="0"/>
          <c:order val="7"/>
          <c:tx>
            <c:strRef>
              <c:f>'All UW 1,2 &amp; 3'!$A$86:$B$86</c:f>
              <c:strCache>
                <c:ptCount val="2"/>
                <c:pt idx="0">
                  <c:v>Seattle</c:v>
                </c:pt>
                <c:pt idx="1">
                  <c:v>Student Commuting</c:v>
                </c:pt>
              </c:strCache>
            </c:strRef>
          </c:tx>
          <c:spPr>
            <a:solidFill>
              <a:srgbClr val="D6C0EF"/>
            </a:solidFill>
            <a:ln>
              <a:solidFill>
                <a:schemeClr val="bg1"/>
              </a:solidFill>
            </a:ln>
          </c:spPr>
          <c:dLbls>
            <c:dLbl>
              <c:idx val="0"/>
              <c:layout>
                <c:manualLayout>
                  <c:x val="-0.00349096074813219"/>
                  <c:y val="0.0138526242214988"/>
                </c:manualLayout>
              </c:layout>
              <c:spPr>
                <a:noFill/>
                <a:ln>
                  <a:noFill/>
                </a:ln>
                <a:effectLst/>
              </c:spPr>
              <c:txPr>
                <a:bodyPr/>
                <a:lstStyle/>
                <a:p>
                  <a:pPr>
                    <a:defRPr sz="900" b="0">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sz="9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3'!$D$86:$T$86</c:f>
              <c:numCache>
                <c:formatCode>#,##0</c:formatCode>
                <c:ptCount val="17"/>
                <c:pt idx="0">
                  <c:v>19123.0</c:v>
                </c:pt>
                <c:pt idx="1">
                  <c:v>19801.75</c:v>
                </c:pt>
                <c:pt idx="2">
                  <c:v>20257.604050715</c:v>
                </c:pt>
                <c:pt idx="3">
                  <c:v>19692.50434823949</c:v>
                </c:pt>
                <c:pt idx="4">
                  <c:v>19180.25827878497</c:v>
                </c:pt>
                <c:pt idx="5">
                  <c:v>21838.0</c:v>
                </c:pt>
                <c:pt idx="6">
                  <c:v>21625.16620286001</c:v>
                </c:pt>
                <c:pt idx="7">
                  <c:v>17997.20524081293</c:v>
                </c:pt>
                <c:pt idx="8">
                  <c:v>17643.52007042142</c:v>
                </c:pt>
                <c:pt idx="9">
                  <c:v>16211.15940732724</c:v>
                </c:pt>
                <c:pt idx="10">
                  <c:v>16377.42708701906</c:v>
                </c:pt>
                <c:pt idx="11">
                  <c:v>15760.0</c:v>
                </c:pt>
                <c:pt idx="12">
                  <c:v>15985.0</c:v>
                </c:pt>
                <c:pt idx="13">
                  <c:v>14942.0</c:v>
                </c:pt>
                <c:pt idx="14">
                  <c:v>15219.0</c:v>
                </c:pt>
                <c:pt idx="15">
                  <c:v>12896.0</c:v>
                </c:pt>
                <c:pt idx="16">
                  <c:v>10649.0</c:v>
                </c:pt>
              </c:numCache>
            </c:numRef>
          </c:val>
          <c:extLst xmlns:c16r2="http://schemas.microsoft.com/office/drawing/2015/06/chart"/>
        </c:ser>
        <c:ser>
          <c:idx val="1"/>
          <c:order val="8"/>
          <c:tx>
            <c:strRef>
              <c:f>'All UW 1,2 &amp; 3'!$A$87:$B$87</c:f>
              <c:strCache>
                <c:ptCount val="2"/>
                <c:pt idx="0">
                  <c:v>Seattle</c:v>
                </c:pt>
                <c:pt idx="1">
                  <c:v>Faculty and Staff Commuting</c:v>
                </c:pt>
              </c:strCache>
            </c:strRef>
          </c:tx>
          <c:spPr>
            <a:solidFill>
              <a:srgbClr val="D6C0EF"/>
            </a:solidFill>
            <a:ln>
              <a:solidFill>
                <a:schemeClr val="bg1"/>
              </a:solidFill>
            </a:ln>
          </c:spPr>
          <c:dLbls>
            <c:dLbl>
              <c:idx val="0"/>
              <c:tx>
                <c:rich>
                  <a:bodyPr/>
                  <a:lstStyle/>
                  <a:p>
                    <a:pPr>
                      <a:defRPr sz="1000" b="0">
                        <a:latin typeface="Trebuchet MS" charset="0"/>
                        <a:ea typeface="Trebuchet MS" charset="0"/>
                        <a:cs typeface="Trebuchet MS" charset="0"/>
                      </a:defRPr>
                    </a:pPr>
                    <a:fld id="{483E2820-516A-4E61-8219-E562D07B041B}" type="SERIESNAME">
                      <a:rPr lang="en-US" sz="1000">
                        <a:latin typeface="Trebuchet MS" charset="0"/>
                        <a:ea typeface="Trebuchet MS" charset="0"/>
                        <a:cs typeface="Trebuchet MS" charset="0"/>
                      </a:rPr>
                      <a:pPr>
                        <a:defRPr sz="1000" b="0">
                          <a:latin typeface="Trebuchet MS" charset="0"/>
                          <a:ea typeface="Trebuchet MS" charset="0"/>
                          <a:cs typeface="Trebuchet MS" charset="0"/>
                        </a:defRPr>
                      </a:pPr>
                      <a:t>[SERIES NAME]</a:t>
                    </a:fld>
                    <a:endParaRPr lang="en-US"/>
                  </a:p>
                </c:rich>
              </c:tx>
              <c:spPr>
                <a:noFill/>
                <a:ln>
                  <a:noFill/>
                </a:ln>
                <a:effectLst/>
              </c:spPr>
              <c:showLegendKey val="0"/>
              <c:showVal val="0"/>
              <c:showCatName val="0"/>
              <c:showSerName val="1"/>
              <c:showPercent val="0"/>
              <c:showBubbleSize val="0"/>
              <c:extLst xmlns:c16r2="http://schemas.microsoft.com/office/drawing/2015/06/chart">
                <c:ext xmlns:c15="http://schemas.microsoft.com/office/drawing/2012/chart" uri="{CE6537A1-D6FC-4f65-9D91-7224C49458BB}">
                  <c15:dlblFieldTable/>
                  <c15:showDataLabelsRange val="0"/>
                </c:ext>
              </c:extLst>
            </c:dLbl>
            <c:spPr>
              <a:noFill/>
              <a:ln>
                <a:noFill/>
              </a:ln>
              <a:effectLst/>
            </c:spPr>
            <c:txPr>
              <a:bodyPr/>
              <a:lstStyle/>
              <a:p>
                <a:pPr>
                  <a:defRPr sz="900" b="0">
                    <a:latin typeface="Trebuchet MS" charset="0"/>
                    <a:ea typeface="Trebuchet MS" charset="0"/>
                    <a:cs typeface="Trebuchet MS" charset="0"/>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3'!$D$87:$T$87</c:f>
              <c:numCache>
                <c:formatCode>#,##0</c:formatCode>
                <c:ptCount val="17"/>
                <c:pt idx="0">
                  <c:v>27049.0</c:v>
                </c:pt>
                <c:pt idx="1">
                  <c:v>28468.75</c:v>
                </c:pt>
                <c:pt idx="2">
                  <c:v>30287.22745189275</c:v>
                </c:pt>
                <c:pt idx="3">
                  <c:v>30924.07400080237</c:v>
                </c:pt>
                <c:pt idx="4">
                  <c:v>31105.01073463475</c:v>
                </c:pt>
                <c:pt idx="5">
                  <c:v>32728.0</c:v>
                </c:pt>
                <c:pt idx="6">
                  <c:v>35742.659807571</c:v>
                </c:pt>
                <c:pt idx="7">
                  <c:v>32834.61364753125</c:v>
                </c:pt>
                <c:pt idx="8">
                  <c:v>31647.82093613188</c:v>
                </c:pt>
                <c:pt idx="9">
                  <c:v>25910.68225453671</c:v>
                </c:pt>
                <c:pt idx="10">
                  <c:v>26454.19947548214</c:v>
                </c:pt>
                <c:pt idx="11">
                  <c:v>27359.0</c:v>
                </c:pt>
                <c:pt idx="12">
                  <c:v>27714.0</c:v>
                </c:pt>
                <c:pt idx="13">
                  <c:v>28387.0</c:v>
                </c:pt>
                <c:pt idx="14">
                  <c:v>29461.0</c:v>
                </c:pt>
                <c:pt idx="15">
                  <c:v>27133.0</c:v>
                </c:pt>
                <c:pt idx="16">
                  <c:v>27450.0</c:v>
                </c:pt>
              </c:numCache>
            </c:numRef>
          </c:val>
          <c:extLst xmlns:c16r2="http://schemas.microsoft.com/office/drawing/2015/06/chart"/>
        </c:ser>
        <c:dLbls>
          <c:showLegendKey val="0"/>
          <c:showVal val="0"/>
          <c:showCatName val="0"/>
          <c:showSerName val="0"/>
          <c:showPercent val="0"/>
          <c:showBubbleSize val="0"/>
        </c:dLbls>
        <c:axId val="-519085728"/>
        <c:axId val="-519081808"/>
      </c:areaChart>
      <c:catAx>
        <c:axId val="-519085728"/>
        <c:scaling>
          <c:orientation val="minMax"/>
        </c:scaling>
        <c:delete val="0"/>
        <c:axPos val="b"/>
        <c:numFmt formatCode="General" sourceLinked="1"/>
        <c:majorTickMark val="out"/>
        <c:minorTickMark val="none"/>
        <c:tickLblPos val="nextTo"/>
        <c:spPr>
          <a:ln>
            <a:noFill/>
          </a:ln>
        </c:spPr>
        <c:txPr>
          <a:bodyPr/>
          <a:lstStyle/>
          <a:p>
            <a:pPr>
              <a:defRPr>
                <a:solidFill>
                  <a:srgbClr val="33006F"/>
                </a:solidFill>
                <a:latin typeface="Open Sans"/>
              </a:defRPr>
            </a:pPr>
            <a:endParaRPr lang="en-US"/>
          </a:p>
        </c:txPr>
        <c:crossAx val="-519081808"/>
        <c:crosses val="autoZero"/>
        <c:auto val="1"/>
        <c:lblAlgn val="ctr"/>
        <c:lblOffset val="100"/>
        <c:noMultiLvlLbl val="0"/>
      </c:catAx>
      <c:valAx>
        <c:axId val="-519081808"/>
        <c:scaling>
          <c:orientation val="minMax"/>
        </c:scaling>
        <c:delete val="0"/>
        <c:axPos val="l"/>
        <c:majorGridlines>
          <c:spPr>
            <a:ln>
              <a:solidFill>
                <a:schemeClr val="bg1">
                  <a:lumMod val="95000"/>
                </a:schemeClr>
              </a:solidFill>
            </a:ln>
          </c:spPr>
        </c:majorGridlines>
        <c:title>
          <c:tx>
            <c:rich>
              <a:bodyPr rot="-5400000" vert="horz"/>
              <a:lstStyle/>
              <a:p>
                <a:pPr>
                  <a:defRPr b="1" i="0">
                    <a:solidFill>
                      <a:srgbClr val="33006F"/>
                    </a:solidFill>
                    <a:latin typeface="Open Sans"/>
                  </a:defRPr>
                </a:pPr>
                <a:r>
                  <a:rPr lang="en-US" b="1" i="0">
                    <a:solidFill>
                      <a:srgbClr val="33006F"/>
                    </a:solidFill>
                    <a:latin typeface="Open Sans"/>
                  </a:rPr>
                  <a:t>Metric Tons of Greenhouse Gases </a:t>
                </a:r>
              </a:p>
              <a:p>
                <a:pPr>
                  <a:defRPr b="1" i="0">
                    <a:solidFill>
                      <a:srgbClr val="33006F"/>
                    </a:solidFill>
                    <a:latin typeface="Open Sans"/>
                  </a:defRPr>
                </a:pPr>
                <a:r>
                  <a:rPr lang="en-US" b="1" i="0">
                    <a:solidFill>
                      <a:srgbClr val="33006F"/>
                    </a:solidFill>
                    <a:latin typeface="Open Sans"/>
                  </a:rPr>
                  <a:t>(CO2</a:t>
                </a:r>
                <a:r>
                  <a:rPr lang="en-US" b="1" i="0" baseline="0">
                    <a:solidFill>
                      <a:srgbClr val="33006F"/>
                    </a:solidFill>
                    <a:latin typeface="Open Sans"/>
                  </a:rPr>
                  <a:t> Equivalent)</a:t>
                </a:r>
                <a:endParaRPr lang="en-US" b="1" i="0">
                  <a:solidFill>
                    <a:srgbClr val="33006F"/>
                  </a:solidFill>
                  <a:latin typeface="Open Sans"/>
                </a:endParaRPr>
              </a:p>
            </c:rich>
          </c:tx>
          <c:overlay val="0"/>
        </c:title>
        <c:numFmt formatCode="#,##0" sourceLinked="1"/>
        <c:majorTickMark val="out"/>
        <c:minorTickMark val="none"/>
        <c:tickLblPos val="nextTo"/>
        <c:spPr>
          <a:ln>
            <a:noFill/>
          </a:ln>
        </c:spPr>
        <c:txPr>
          <a:bodyPr/>
          <a:lstStyle/>
          <a:p>
            <a:pPr>
              <a:defRPr>
                <a:solidFill>
                  <a:srgbClr val="33006F"/>
                </a:solidFill>
                <a:latin typeface="Open Sans"/>
              </a:defRPr>
            </a:pPr>
            <a:endParaRPr lang="en-US"/>
          </a:p>
        </c:txPr>
        <c:crossAx val="-519085728"/>
        <c:crosses val="autoZero"/>
        <c:crossBetween val="midCat"/>
      </c:valAx>
    </c:plotArea>
    <c:plotVisOnly val="1"/>
    <c:dispBlanksAs val="zero"/>
    <c:showDLblsOverMax val="0"/>
  </c:chart>
  <c:spPr>
    <a:solidFill>
      <a:schemeClr val="bg1"/>
    </a:solidFill>
    <a:ln>
      <a:noFill/>
    </a:ln>
  </c:spPr>
  <c:txPr>
    <a:bodyPr/>
    <a:lstStyle/>
    <a:p>
      <a:pPr>
        <a:defRPr>
          <a:latin typeface="Trebuchet MS"/>
          <a:cs typeface="Trebuchet MS"/>
        </a:defRPr>
      </a:pPr>
      <a:endParaRPr lang="en-US"/>
    </a:p>
  </c:txPr>
  <c:printSettings>
    <c:headerFooter/>
    <c:pageMargins b="1.0" l="0.750000000000002" r="0.750000000000002"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0" cap="all">
                <a:solidFill>
                  <a:srgbClr val="33006F"/>
                </a:solidFill>
                <a:latin typeface="Encode Sans Narrow Black"/>
              </a:rPr>
              <a:t>UW GHG Emissions from Purchased Energy</a:t>
            </a:r>
          </a:p>
          <a:p>
            <a:pPr>
              <a:defRPr/>
            </a:pPr>
            <a:r>
              <a:rPr lang="en-US" sz="1800" b="0" cap="all">
                <a:solidFill>
                  <a:srgbClr val="33006F"/>
                </a:solidFill>
                <a:latin typeface="Encode Sans Narrow Black"/>
              </a:rPr>
              <a:t>(Scope 2)</a:t>
            </a:r>
          </a:p>
        </c:rich>
      </c:tx>
      <c:layout>
        <c:manualLayout>
          <c:xMode val="edge"/>
          <c:yMode val="edge"/>
          <c:x val="0.200626474818483"/>
          <c:y val="0.0512822213012847"/>
        </c:manualLayout>
      </c:layout>
      <c:overlay val="1"/>
    </c:title>
    <c:autoTitleDeleted val="0"/>
    <c:plotArea>
      <c:layout>
        <c:manualLayout>
          <c:layoutTarget val="inner"/>
          <c:xMode val="edge"/>
          <c:yMode val="edge"/>
          <c:x val="0.174739217282427"/>
          <c:y val="0.0596162453377538"/>
          <c:w val="0.781459618234724"/>
          <c:h val="0.826918477540983"/>
        </c:manualLayout>
      </c:layout>
      <c:areaChart>
        <c:grouping val="stacked"/>
        <c:varyColors val="0"/>
        <c:ser>
          <c:idx val="10"/>
          <c:order val="0"/>
          <c:tx>
            <c:strRef>
              <c:f>'All UW 1,2 &amp; 3'!$A$78</c:f>
              <c:strCache>
                <c:ptCount val="1"/>
                <c:pt idx="0">
                  <c:v>Bothell</c:v>
                </c:pt>
              </c:strCache>
            </c:strRef>
          </c:tx>
          <c:spPr>
            <a:solidFill>
              <a:srgbClr val="D6C0EF"/>
            </a:solidFill>
            <a:ln w="6350">
              <a:solidFill>
                <a:schemeClr val="bg1"/>
              </a:solidFill>
            </a:ln>
          </c:spPr>
          <c:dLbls>
            <c:dLbl>
              <c:idx val="0"/>
              <c:layout>
                <c:manualLayout>
                  <c:x val="-0.0286752929769129"/>
                  <c:y val="0.00691500884237689"/>
                </c:manualLayout>
              </c:layout>
              <c:tx>
                <c:rich>
                  <a:bodyPr/>
                  <a:lstStyle/>
                  <a:p>
                    <a:fld id="{DF226A89-1914-484C-9C8D-6B0B6EDADD2A}" type="SERIESNAME">
                      <a:rPr lang="en-US">
                        <a:latin typeface="Open Sans" panose="020B0606030504020204" pitchFamily="34" charset="0"/>
                        <a:ea typeface="Open Sans" panose="020B0606030504020204" pitchFamily="34" charset="0"/>
                        <a:cs typeface="Open Sans" panose="020B0606030504020204" pitchFamily="34" charset="0"/>
                      </a:rPr>
                      <a:pPr/>
                      <a:t>[SERIES NAME]</a:t>
                    </a:fld>
                    <a:endParaRPr lang="en-US"/>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15:dlblFieldTable/>
                  <c15:showDataLabelsRange val="0"/>
                </c:ext>
              </c:extLst>
            </c:dLbl>
            <c:spPr>
              <a:noFill/>
              <a:ln>
                <a:noFill/>
              </a:ln>
              <a:effectLst/>
            </c:spPr>
            <c:txPr>
              <a:bodyPr/>
              <a:lstStyle/>
              <a:p>
                <a:pPr>
                  <a:defRPr sz="9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3'!$D$78:$T$78</c:f>
              <c:numCache>
                <c:formatCode>#,##0</c:formatCode>
                <c:ptCount val="17"/>
                <c:pt idx="0">
                  <c:v>664.0</c:v>
                </c:pt>
                <c:pt idx="1">
                  <c:v>1180.75</c:v>
                </c:pt>
                <c:pt idx="2">
                  <c:v>1561.482771736334</c:v>
                </c:pt>
                <c:pt idx="3">
                  <c:v>1888.650503857277</c:v>
                </c:pt>
                <c:pt idx="4">
                  <c:v>2116.573174144888</c:v>
                </c:pt>
                <c:pt idx="5">
                  <c:v>2731.0</c:v>
                </c:pt>
                <c:pt idx="6">
                  <c:v>2703.681086945335</c:v>
                </c:pt>
                <c:pt idx="7">
                  <c:v>2870.153700220108</c:v>
                </c:pt>
                <c:pt idx="8">
                  <c:v>2800.34118500772</c:v>
                </c:pt>
                <c:pt idx="9">
                  <c:v>2954.61666342504</c:v>
                </c:pt>
                <c:pt idx="10">
                  <c:v>2195.25066983844</c:v>
                </c:pt>
                <c:pt idx="11">
                  <c:v>2652.0</c:v>
                </c:pt>
                <c:pt idx="12">
                  <c:v>2529.0</c:v>
                </c:pt>
                <c:pt idx="13">
                  <c:v>2706.0</c:v>
                </c:pt>
                <c:pt idx="14">
                  <c:v>3648.0</c:v>
                </c:pt>
                <c:pt idx="15">
                  <c:v>3828.0</c:v>
                </c:pt>
                <c:pt idx="16">
                  <c:v>3967.0</c:v>
                </c:pt>
              </c:numCache>
            </c:numRef>
          </c:val>
          <c:extLst xmlns:c16r2="http://schemas.microsoft.com/office/drawing/2015/06/chart"/>
        </c:ser>
        <c:ser>
          <c:idx val="2"/>
          <c:order val="1"/>
          <c:tx>
            <c:strRef>
              <c:f>'All UW 1,2 &amp; 3'!$A$76</c:f>
              <c:strCache>
                <c:ptCount val="1"/>
                <c:pt idx="0">
                  <c:v>Tacoma</c:v>
                </c:pt>
              </c:strCache>
            </c:strRef>
          </c:tx>
          <c:spPr>
            <a:solidFill>
              <a:srgbClr val="D6C0EF"/>
            </a:solidFill>
            <a:ln w="6350">
              <a:solidFill>
                <a:schemeClr val="bg1"/>
              </a:solidFill>
            </a:ln>
          </c:spPr>
          <c:dLbls>
            <c:dLbl>
              <c:idx val="0"/>
              <c:layout>
                <c:manualLayout>
                  <c:x val="0.17426940353733"/>
                  <c:y val="-0.0324448818897639"/>
                </c:manualLayout>
              </c:layout>
              <c:tx>
                <c:rich>
                  <a:bodyPr/>
                  <a:lstStyle/>
                  <a:p>
                    <a:fld id="{610A934F-5B7B-4ED8-BE28-BBCAEDFB12F7}" type="SERIESNAME">
                      <a:rPr lang="en-US">
                        <a:latin typeface="Open Sans" panose="020B0606030504020204" pitchFamily="34" charset="0"/>
                        <a:ea typeface="Open Sans" panose="020B0606030504020204" pitchFamily="34" charset="0"/>
                        <a:cs typeface="Open Sans" panose="020B0606030504020204" pitchFamily="34" charset="0"/>
                      </a:rPr>
                      <a:pPr/>
                      <a:t>[SERIES NAME]</a:t>
                    </a:fld>
                    <a:endParaRPr lang="en-US"/>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manualLayout>
                      <c:w val="0.0651329828802758"/>
                      <c:h val="0.0322501036054704"/>
                    </c:manualLayout>
                  </c15:layout>
                  <c15:dlblFieldTable/>
                  <c15:showDataLabelsRange val="0"/>
                </c:ext>
              </c:extLst>
            </c:dLbl>
            <c:spPr>
              <a:noFill/>
              <a:ln>
                <a:noFill/>
              </a:ln>
              <a:effectLst/>
            </c:spPr>
            <c:txPr>
              <a:bodyPr/>
              <a:lstStyle/>
              <a:p>
                <a:pPr>
                  <a:defRPr sz="9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3'!$D$76:$T$76</c:f>
              <c:numCache>
                <c:formatCode>#,##0</c:formatCode>
                <c:ptCount val="17"/>
                <c:pt idx="0">
                  <c:v>629.0</c:v>
                </c:pt>
                <c:pt idx="1">
                  <c:v>557.5</c:v>
                </c:pt>
                <c:pt idx="2">
                  <c:v>472.1312350919875</c:v>
                </c:pt>
                <c:pt idx="3">
                  <c:v>417.3371175087131</c:v>
                </c:pt>
                <c:pt idx="4">
                  <c:v>378.7209023740373</c:v>
                </c:pt>
                <c:pt idx="5">
                  <c:v>343.0</c:v>
                </c:pt>
                <c:pt idx="6">
                  <c:v>216.02494036795</c:v>
                </c:pt>
                <c:pt idx="7">
                  <c:v>252.95476475889</c:v>
                </c:pt>
                <c:pt idx="8">
                  <c:v>262.87225697001</c:v>
                </c:pt>
                <c:pt idx="9">
                  <c:v>390.97531683504</c:v>
                </c:pt>
                <c:pt idx="10">
                  <c:v>399.045178574</c:v>
                </c:pt>
                <c:pt idx="11">
                  <c:v>521.0</c:v>
                </c:pt>
                <c:pt idx="12">
                  <c:v>263.0</c:v>
                </c:pt>
                <c:pt idx="13">
                  <c:v>333.0</c:v>
                </c:pt>
                <c:pt idx="14">
                  <c:v>400.0</c:v>
                </c:pt>
                <c:pt idx="15" formatCode="General">
                  <c:v>398.0</c:v>
                </c:pt>
                <c:pt idx="16">
                  <c:v>282.0</c:v>
                </c:pt>
              </c:numCache>
            </c:numRef>
          </c:val>
          <c:extLst xmlns:c16r2="http://schemas.microsoft.com/office/drawing/2015/06/chart"/>
        </c:ser>
        <c:ser>
          <c:idx val="7"/>
          <c:order val="2"/>
          <c:tx>
            <c:strRef>
              <c:f>'All UW 1,2 &amp; 3'!$A$80</c:f>
              <c:strCache>
                <c:ptCount val="1"/>
                <c:pt idx="0">
                  <c:v>Outlying</c:v>
                </c:pt>
              </c:strCache>
            </c:strRef>
          </c:tx>
          <c:spPr>
            <a:solidFill>
              <a:srgbClr val="D6C0EF"/>
            </a:solidFill>
            <a:ln w="6350">
              <a:solidFill>
                <a:schemeClr val="bg1"/>
              </a:solidFill>
            </a:ln>
          </c:spPr>
          <c:dLbls>
            <c:dLbl>
              <c:idx val="0"/>
              <c:layout>
                <c:manualLayout>
                  <c:x val="0.0716662810606924"/>
                  <c:y val="-0.0605263157894738"/>
                </c:manualLayout>
              </c:layout>
              <c:showLegendKey val="0"/>
              <c:showVal val="0"/>
              <c:showCatName val="0"/>
              <c:showSerName val="1"/>
              <c:showPercent val="0"/>
              <c:showBubbleSize val="0"/>
              <c:extLst>
                <c:ext xmlns:c15="http://schemas.microsoft.com/office/drawing/2012/chart" uri="{CE6537A1-D6FC-4f65-9D91-7224C49458BB}">
                  <c15:layout>
                    <c:manualLayout>
                      <c:w val="0.0723078786583957"/>
                      <c:h val="0.0463421052631579"/>
                    </c:manualLayout>
                  </c15:layout>
                </c:ext>
              </c:extLst>
            </c:dLbl>
            <c:spPr>
              <a:noFill/>
              <a:ln>
                <a:noFill/>
              </a:ln>
              <a:effectLst/>
            </c:spPr>
            <c:txPr>
              <a:bodyPr/>
              <a:lstStyle/>
              <a:p>
                <a:pPr>
                  <a:defRPr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3'!$E$80:$T$80</c:f>
              <c:numCache>
                <c:formatCode>#,##0</c:formatCode>
                <c:ptCount val="16"/>
                <c:pt idx="0">
                  <c:v>70.5</c:v>
                </c:pt>
                <c:pt idx="1">
                  <c:v>88.875</c:v>
                </c:pt>
                <c:pt idx="2">
                  <c:v>102.65625</c:v>
                </c:pt>
                <c:pt idx="3">
                  <c:v>112.9921875</c:v>
                </c:pt>
                <c:pt idx="4">
                  <c:v>144.0</c:v>
                </c:pt>
                <c:pt idx="5">
                  <c:v>144.0</c:v>
                </c:pt>
                <c:pt idx="6">
                  <c:v>144.0</c:v>
                </c:pt>
                <c:pt idx="7">
                  <c:v>144.0</c:v>
                </c:pt>
                <c:pt idx="8">
                  <c:v>144.0</c:v>
                </c:pt>
                <c:pt idx="9">
                  <c:v>144.0</c:v>
                </c:pt>
                <c:pt idx="10">
                  <c:v>144.0</c:v>
                </c:pt>
                <c:pt idx="11">
                  <c:v>144.0</c:v>
                </c:pt>
                <c:pt idx="12">
                  <c:v>144.0</c:v>
                </c:pt>
                <c:pt idx="13">
                  <c:v>144.0</c:v>
                </c:pt>
                <c:pt idx="14" formatCode="General">
                  <c:v>144.0</c:v>
                </c:pt>
                <c:pt idx="15">
                  <c:v>144.0</c:v>
                </c:pt>
              </c:numCache>
            </c:numRef>
          </c:val>
          <c:extLst xmlns:c16r2="http://schemas.microsoft.com/office/drawing/2015/06/chart"/>
        </c:ser>
        <c:ser>
          <c:idx val="13"/>
          <c:order val="3"/>
          <c:tx>
            <c:strRef>
              <c:f>'All UW 1,2 &amp; 3'!$B$69</c:f>
              <c:strCache>
                <c:ptCount val="1"/>
                <c:pt idx="0">
                  <c:v>Non-State Funded - Steam</c:v>
                </c:pt>
              </c:strCache>
            </c:strRef>
          </c:tx>
          <c:spPr>
            <a:solidFill>
              <a:srgbClr val="D6C0EF"/>
            </a:solidFill>
            <a:ln w="6350">
              <a:solidFill>
                <a:schemeClr val="bg1"/>
              </a:solidFill>
            </a:ln>
          </c:spPr>
          <c:dLbls>
            <c:dLbl>
              <c:idx val="0"/>
              <c:layout>
                <c:manualLayout>
                  <c:x val="-0.246512715613997"/>
                  <c:y val="-0.0105263157894738"/>
                </c:manualLayout>
              </c:layout>
              <c:tx>
                <c:rich>
                  <a:bodyPr/>
                  <a:lstStyle/>
                  <a:p>
                    <a:r>
                      <a:rPr lang="en-US" sz="900" b="0">
                        <a:latin typeface="Open Sans" panose="020B0606030504020204" pitchFamily="34" charset="0"/>
                        <a:ea typeface="Open Sans" panose="020B0606030504020204" pitchFamily="34" charset="0"/>
                        <a:cs typeface="Open Sans" panose="020B0606030504020204" pitchFamily="34" charset="0"/>
                      </a:rPr>
                      <a:t>Downtown Seattle Leased Buildings</a:t>
                    </a:r>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9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3'!$D$69:$T$69</c:f>
              <c:numCache>
                <c:formatCode>#,##0</c:formatCode>
                <c:ptCount val="17"/>
                <c:pt idx="0">
                  <c:v>7410.0</c:v>
                </c:pt>
                <c:pt idx="1">
                  <c:v>6725.75</c:v>
                </c:pt>
                <c:pt idx="2">
                  <c:v>6336.0619625</c:v>
                </c:pt>
                <c:pt idx="3">
                  <c:v>6025.272543125</c:v>
                </c:pt>
                <c:pt idx="4">
                  <c:v>5490.94134984375</c:v>
                </c:pt>
                <c:pt idx="5">
                  <c:v>4673.0</c:v>
                </c:pt>
                <c:pt idx="6">
                  <c:v>5166.997850000001</c:v>
                </c:pt>
                <c:pt idx="7">
                  <c:v>5092.904285000001</c:v>
                </c:pt>
                <c:pt idx="8">
                  <c:v>3887.94777</c:v>
                </c:pt>
                <c:pt idx="9">
                  <c:v>3819.9318325</c:v>
                </c:pt>
                <c:pt idx="10">
                  <c:v>4076.4759</c:v>
                </c:pt>
                <c:pt idx="11">
                  <c:v>4741.0</c:v>
                </c:pt>
                <c:pt idx="12">
                  <c:v>4612.0</c:v>
                </c:pt>
                <c:pt idx="13">
                  <c:v>4314.0</c:v>
                </c:pt>
                <c:pt idx="14">
                  <c:v>4303.0</c:v>
                </c:pt>
                <c:pt idx="15">
                  <c:v>3954.0</c:v>
                </c:pt>
                <c:pt idx="16">
                  <c:v>3874.0</c:v>
                </c:pt>
              </c:numCache>
            </c:numRef>
          </c:val>
          <c:extLst xmlns:c16r2="http://schemas.microsoft.com/office/drawing/2015/06/chart"/>
        </c:ser>
        <c:ser>
          <c:idx val="8"/>
          <c:order val="4"/>
          <c:tx>
            <c:strRef>
              <c:f>'All UW 1,2 &amp; 3'!$B$68</c:f>
              <c:strCache>
                <c:ptCount val="1"/>
                <c:pt idx="0">
                  <c:v>Other State Funded Facilities</c:v>
                </c:pt>
              </c:strCache>
            </c:strRef>
          </c:tx>
          <c:spPr>
            <a:solidFill>
              <a:srgbClr val="D6C0EF"/>
            </a:solidFill>
            <a:ln w="6350">
              <a:solidFill>
                <a:schemeClr val="bg1"/>
              </a:solidFill>
            </a:ln>
          </c:spPr>
          <c:dLbls>
            <c:dLbl>
              <c:idx val="0"/>
              <c:layout>
                <c:manualLayout>
                  <c:x val="-0.285759035211381"/>
                  <c:y val="-0.154252291650958"/>
                </c:manualLayout>
              </c:layout>
              <c:tx>
                <c:rich>
                  <a:bodyPr/>
                  <a:lstStyle/>
                  <a:p>
                    <a:r>
                      <a:rPr lang="en-US" b="0">
                        <a:latin typeface="Open Sans" panose="020B0606030504020204" pitchFamily="34" charset="0"/>
                        <a:ea typeface="Open Sans" panose="020B0606030504020204" pitchFamily="34" charset="0"/>
                        <a:cs typeface="Open Sans" panose="020B0606030504020204" pitchFamily="34" charset="0"/>
                      </a:rPr>
                      <a:t>Seattle Off-Campus</a:t>
                    </a:r>
                  </a:p>
                </c:rich>
              </c:tx>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a:lstStyle/>
              <a:p>
                <a:pPr>
                  <a:defRPr sz="9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3'!$D$68:$T$68</c:f>
              <c:numCache>
                <c:formatCode>#,##0</c:formatCode>
                <c:ptCount val="17"/>
                <c:pt idx="0">
                  <c:v>986.0</c:v>
                </c:pt>
                <c:pt idx="1">
                  <c:v>986.0</c:v>
                </c:pt>
                <c:pt idx="2">
                  <c:v>986.0</c:v>
                </c:pt>
                <c:pt idx="3">
                  <c:v>986.0</c:v>
                </c:pt>
                <c:pt idx="4">
                  <c:v>986.0</c:v>
                </c:pt>
                <c:pt idx="5">
                  <c:v>0.0</c:v>
                </c:pt>
                <c:pt idx="6">
                  <c:v>0.0</c:v>
                </c:pt>
                <c:pt idx="7">
                  <c:v>0.0</c:v>
                </c:pt>
                <c:pt idx="8">
                  <c:v>0.0</c:v>
                </c:pt>
                <c:pt idx="9">
                  <c:v>0.0</c:v>
                </c:pt>
                <c:pt idx="10">
                  <c:v>0.0</c:v>
                </c:pt>
                <c:pt idx="11">
                  <c:v>0.0</c:v>
                </c:pt>
                <c:pt idx="12">
                  <c:v>0.0</c:v>
                </c:pt>
                <c:pt idx="13">
                  <c:v>0.0</c:v>
                </c:pt>
                <c:pt idx="14">
                  <c:v>0.0</c:v>
                </c:pt>
                <c:pt idx="15" formatCode="General">
                  <c:v>0.0</c:v>
                </c:pt>
                <c:pt idx="16">
                  <c:v>0.0</c:v>
                </c:pt>
              </c:numCache>
            </c:numRef>
          </c:val>
          <c:extLst xmlns:c16r2="http://schemas.microsoft.com/office/drawing/2015/06/chart"/>
        </c:ser>
        <c:ser>
          <c:idx val="11"/>
          <c:order val="5"/>
          <c:tx>
            <c:strRef>
              <c:f>'All UW 1,2 &amp; 3'!$B$67</c:f>
              <c:strCache>
                <c:ptCount val="1"/>
                <c:pt idx="0">
                  <c:v>Central Loop</c:v>
                </c:pt>
              </c:strCache>
            </c:strRef>
          </c:tx>
          <c:spPr>
            <a:solidFill>
              <a:srgbClr val="D6C0EF"/>
            </a:solidFill>
            <a:ln w="6350">
              <a:solidFill>
                <a:schemeClr val="bg1"/>
              </a:solidFill>
            </a:ln>
          </c:spPr>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3'!$D$67:$T$67</c:f>
              <c:numCache>
                <c:formatCode>#,##0</c:formatCode>
                <c:ptCount val="17"/>
                <c:pt idx="0">
                  <c:v>16133.0</c:v>
                </c:pt>
                <c:pt idx="1">
                  <c:v>16133.0</c:v>
                </c:pt>
                <c:pt idx="2">
                  <c:v>16133.0</c:v>
                </c:pt>
                <c:pt idx="3">
                  <c:v>16133.0</c:v>
                </c:pt>
                <c:pt idx="4">
                  <c:v>16133.0</c:v>
                </c:pt>
                <c:pt idx="5">
                  <c:v>0.0</c:v>
                </c:pt>
                <c:pt idx="6">
                  <c:v>0.0</c:v>
                </c:pt>
                <c:pt idx="7">
                  <c:v>0.0</c:v>
                </c:pt>
                <c:pt idx="8">
                  <c:v>0.0</c:v>
                </c:pt>
                <c:pt idx="9">
                  <c:v>0.0</c:v>
                </c:pt>
                <c:pt idx="10">
                  <c:v>0.0</c:v>
                </c:pt>
                <c:pt idx="11">
                  <c:v>0.0</c:v>
                </c:pt>
                <c:pt idx="12">
                  <c:v>0.0</c:v>
                </c:pt>
                <c:pt idx="13">
                  <c:v>0.0</c:v>
                </c:pt>
                <c:pt idx="14">
                  <c:v>0.0</c:v>
                </c:pt>
                <c:pt idx="15" formatCode="General">
                  <c:v>0.0</c:v>
                </c:pt>
                <c:pt idx="16">
                  <c:v>0.0</c:v>
                </c:pt>
              </c:numCache>
            </c:numRef>
          </c:val>
          <c:extLst xmlns:c16r2="http://schemas.microsoft.com/office/drawing/2015/06/chart"/>
        </c:ser>
        <c:dLbls>
          <c:showLegendKey val="0"/>
          <c:showVal val="0"/>
          <c:showCatName val="0"/>
          <c:showSerName val="0"/>
          <c:showPercent val="0"/>
          <c:showBubbleSize val="0"/>
        </c:dLbls>
        <c:axId val="-519834912"/>
        <c:axId val="-519830496"/>
      </c:areaChart>
      <c:catAx>
        <c:axId val="-519834912"/>
        <c:scaling>
          <c:orientation val="minMax"/>
        </c:scaling>
        <c:delete val="0"/>
        <c:axPos val="b"/>
        <c:numFmt formatCode="General" sourceLinked="1"/>
        <c:majorTickMark val="out"/>
        <c:minorTickMark val="none"/>
        <c:tickLblPos val="nextTo"/>
        <c:spPr>
          <a:ln>
            <a:noFill/>
          </a:ln>
        </c:spPr>
        <c:txPr>
          <a:bodyPr/>
          <a:lstStyle/>
          <a:p>
            <a:pPr>
              <a:defRPr>
                <a:solidFill>
                  <a:srgbClr val="39006F"/>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519830496"/>
        <c:crosses val="autoZero"/>
        <c:auto val="1"/>
        <c:lblAlgn val="ctr"/>
        <c:lblOffset val="100"/>
        <c:noMultiLvlLbl val="0"/>
      </c:catAx>
      <c:valAx>
        <c:axId val="-519830496"/>
        <c:scaling>
          <c:orientation val="minMax"/>
        </c:scaling>
        <c:delete val="0"/>
        <c:axPos val="l"/>
        <c:majorGridlines>
          <c:spPr>
            <a:ln>
              <a:solidFill>
                <a:schemeClr val="bg1">
                  <a:lumMod val="95000"/>
                </a:schemeClr>
              </a:solidFill>
            </a:ln>
          </c:spPr>
        </c:majorGridlines>
        <c:title>
          <c:tx>
            <c:rich>
              <a:bodyPr rot="-5400000" vert="horz"/>
              <a:lstStyle/>
              <a:p>
                <a:pPr>
                  <a:defRPr sz="1000" b="1" i="0">
                    <a:solidFill>
                      <a:srgbClr val="33006F"/>
                    </a:solidFill>
                    <a:latin typeface="Open Sans"/>
                  </a:defRPr>
                </a:pPr>
                <a:r>
                  <a:rPr lang="en-US" sz="1000" b="1" i="0" baseline="0">
                    <a:solidFill>
                      <a:srgbClr val="33006F"/>
                    </a:solidFill>
                    <a:latin typeface="Open Sans"/>
                  </a:rPr>
                  <a:t>Metric Tons of Greenhouse Gases </a:t>
                </a:r>
                <a:endParaRPr lang="en-US" sz="1000" b="1" i="0">
                  <a:solidFill>
                    <a:srgbClr val="33006F"/>
                  </a:solidFill>
                  <a:latin typeface="Open Sans"/>
                </a:endParaRPr>
              </a:p>
              <a:p>
                <a:pPr>
                  <a:defRPr sz="1000" b="1" i="0">
                    <a:solidFill>
                      <a:srgbClr val="33006F"/>
                    </a:solidFill>
                    <a:latin typeface="Open Sans"/>
                  </a:defRPr>
                </a:pPr>
                <a:r>
                  <a:rPr lang="en-US" sz="1000" b="1" i="0" baseline="0">
                    <a:solidFill>
                      <a:srgbClr val="33006F"/>
                    </a:solidFill>
                    <a:latin typeface="Open Sans"/>
                  </a:rPr>
                  <a:t>(CO2 Equivalent)</a:t>
                </a:r>
              </a:p>
            </c:rich>
          </c:tx>
          <c:layout/>
          <c:overlay val="0"/>
        </c:title>
        <c:numFmt formatCode="#,##0" sourceLinked="1"/>
        <c:majorTickMark val="out"/>
        <c:minorTickMark val="none"/>
        <c:tickLblPos val="nextTo"/>
        <c:spPr>
          <a:ln>
            <a:noFill/>
          </a:ln>
        </c:spPr>
        <c:txPr>
          <a:bodyPr/>
          <a:lstStyle/>
          <a:p>
            <a:pPr>
              <a:defRPr>
                <a:solidFill>
                  <a:srgbClr val="39006F"/>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519834912"/>
        <c:crosses val="autoZero"/>
        <c:crossBetween val="midCat"/>
      </c:valAx>
    </c:plotArea>
    <c:plotVisOnly val="1"/>
    <c:dispBlanksAs val="zero"/>
    <c:showDLblsOverMax val="0"/>
  </c:chart>
  <c:spPr>
    <a:solidFill>
      <a:schemeClr val="bg1"/>
    </a:solidFill>
    <a:ln>
      <a:noFill/>
    </a:ln>
  </c:spPr>
  <c:txPr>
    <a:bodyPr/>
    <a:lstStyle/>
    <a:p>
      <a:pPr>
        <a:defRPr>
          <a:latin typeface="Trebuchet MS"/>
          <a:cs typeface="Trebuchet MS"/>
        </a:defRPr>
      </a:pPr>
      <a:endParaRPr lang="en-US"/>
    </a:p>
  </c:txPr>
  <c:printSettings>
    <c:headerFooter/>
    <c:pageMargins b="1.0" l="0.750000000000002" r="0.750000000000002" t="1.0"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a:solidFill>
                  <a:srgbClr val="33006F"/>
                </a:solidFill>
                <a:latin typeface="Encode Sans Narrow Black"/>
              </a:defRPr>
            </a:pPr>
            <a:r>
              <a:rPr lang="en-US" sz="1800" b="0" i="0">
                <a:solidFill>
                  <a:srgbClr val="33006F"/>
                </a:solidFill>
                <a:effectLst/>
                <a:latin typeface="Encode Sans Narrow Black"/>
              </a:rPr>
              <a:t>UW DIRECT GHG EMISSIONS </a:t>
            </a:r>
          </a:p>
          <a:p>
            <a:pPr>
              <a:defRPr sz="1800" b="0" i="0">
                <a:solidFill>
                  <a:srgbClr val="33006F"/>
                </a:solidFill>
                <a:latin typeface="Encode Sans Narrow Black"/>
              </a:defRPr>
            </a:pPr>
            <a:r>
              <a:rPr lang="en-US" sz="1800" b="0" i="0">
                <a:solidFill>
                  <a:srgbClr val="33006F"/>
                </a:solidFill>
                <a:effectLst/>
                <a:latin typeface="Encode Sans Narrow Black"/>
              </a:rPr>
              <a:t>(SCOPE 1)</a:t>
            </a:r>
          </a:p>
        </c:rich>
      </c:tx>
      <c:layout>
        <c:manualLayout>
          <c:xMode val="edge"/>
          <c:yMode val="edge"/>
          <c:x val="0.30341086627841"/>
          <c:y val="0.0117016638992158"/>
        </c:manualLayout>
      </c:layout>
      <c:overlay val="0"/>
    </c:title>
    <c:autoTitleDeleted val="0"/>
    <c:plotArea>
      <c:layout>
        <c:manualLayout>
          <c:layoutTarget val="inner"/>
          <c:xMode val="edge"/>
          <c:yMode val="edge"/>
          <c:x val="0.153119061601745"/>
          <c:y val="0.152914109427783"/>
          <c:w val="0.723291105874445"/>
          <c:h val="0.719653962516143"/>
        </c:manualLayout>
      </c:layout>
      <c:areaChart>
        <c:grouping val="stacked"/>
        <c:varyColors val="0"/>
        <c:ser>
          <c:idx val="2"/>
          <c:order val="0"/>
          <c:tx>
            <c:strRef>
              <c:f>'All UW 1,2 &amp; 3'!$B$59</c:f>
              <c:strCache>
                <c:ptCount val="1"/>
                <c:pt idx="0">
                  <c:v>Bothell</c:v>
                </c:pt>
              </c:strCache>
            </c:strRef>
          </c:tx>
          <c:spPr>
            <a:solidFill>
              <a:schemeClr val="bg2">
                <a:lumMod val="50000"/>
              </a:schemeClr>
            </a:solidFill>
            <a:ln>
              <a:solidFill>
                <a:schemeClr val="bg1"/>
              </a:solidFill>
            </a:ln>
          </c:spPr>
          <c:dLbls>
            <c:dLbl>
              <c:idx val="0"/>
              <c:layout>
                <c:manualLayout>
                  <c:x val="0.240946021657381"/>
                  <c:y val="-0.135306625099476"/>
                </c:manualLayout>
              </c:layout>
              <c:tx>
                <c:rich>
                  <a:bodyPr/>
                  <a:lstStyle/>
                  <a:p>
                    <a:fld id="{219A1682-84C8-44E3-B0C0-BCF165FE9651}" type="SERIESNAME">
                      <a:rPr lang="en-US">
                        <a:latin typeface="Open Sans" panose="020B0606030504020204" pitchFamily="34" charset="0"/>
                        <a:ea typeface="Open Sans" panose="020B0606030504020204" pitchFamily="34" charset="0"/>
                        <a:cs typeface="Open Sans" panose="020B0606030504020204" pitchFamily="34" charset="0"/>
                      </a:rPr>
                      <a:pPr/>
                      <a:t>[SERIES NAME]</a:t>
                    </a:fld>
                    <a:endParaRPr lang="en-US"/>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15:dlblFieldTable/>
                  <c15:showDataLabelsRange val="0"/>
                </c:ext>
              </c:extLst>
            </c:dLbl>
            <c:spPr>
              <a:noFill/>
              <a:ln>
                <a:noFill/>
              </a:ln>
              <a:effectLst/>
            </c:spPr>
            <c:txPr>
              <a:bodyPr/>
              <a:lstStyle/>
              <a:p>
                <a:pPr>
                  <a:defRPr sz="8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3'!$D$59:$S$59</c:f>
              <c:numCache>
                <c:formatCode>#,##0</c:formatCode>
                <c:ptCount val="16"/>
                <c:pt idx="0">
                  <c:v>391.0</c:v>
                </c:pt>
                <c:pt idx="1">
                  <c:v>464.0</c:v>
                </c:pt>
                <c:pt idx="2">
                  <c:v>524.046792473825</c:v>
                </c:pt>
                <c:pt idx="3">
                  <c:v>586.6537313798687</c:v>
                </c:pt>
                <c:pt idx="4">
                  <c:v>609.9851148661615</c:v>
                </c:pt>
                <c:pt idx="5">
                  <c:v>683.0</c:v>
                </c:pt>
                <c:pt idx="6">
                  <c:v>704.1871698953</c:v>
                </c:pt>
                <c:pt idx="7">
                  <c:v>774.474548098</c:v>
                </c:pt>
                <c:pt idx="8">
                  <c:v>679.97926532504</c:v>
                </c:pt>
                <c:pt idx="9">
                  <c:v>604.54286693595</c:v>
                </c:pt>
                <c:pt idx="10">
                  <c:v>525.935161666515</c:v>
                </c:pt>
                <c:pt idx="11">
                  <c:v>367.0</c:v>
                </c:pt>
                <c:pt idx="12">
                  <c:v>333.0</c:v>
                </c:pt>
                <c:pt idx="13">
                  <c:v>395.0</c:v>
                </c:pt>
                <c:pt idx="14">
                  <c:v>556.0</c:v>
                </c:pt>
                <c:pt idx="15" formatCode="General">
                  <c:v>702.0</c:v>
                </c:pt>
              </c:numCache>
            </c:numRef>
          </c:val>
          <c:extLst xmlns:c16r2="http://schemas.microsoft.com/office/drawing/2015/06/chart"/>
        </c:ser>
        <c:ser>
          <c:idx val="1"/>
          <c:order val="1"/>
          <c:tx>
            <c:strRef>
              <c:f>'All UW 1,2 &amp; 3'!$B$54</c:f>
              <c:strCache>
                <c:ptCount val="1"/>
                <c:pt idx="0">
                  <c:v>Tacoma</c:v>
                </c:pt>
              </c:strCache>
            </c:strRef>
          </c:tx>
          <c:spPr>
            <a:solidFill>
              <a:schemeClr val="bg2">
                <a:lumMod val="75000"/>
              </a:schemeClr>
            </a:solidFill>
            <a:ln>
              <a:solidFill>
                <a:schemeClr val="bg1"/>
              </a:solidFill>
            </a:ln>
          </c:spPr>
          <c:dLbls>
            <c:dLbl>
              <c:idx val="0"/>
              <c:layout>
                <c:manualLayout>
                  <c:x val="0.230145854320067"/>
                  <c:y val="-0.173248252543677"/>
                </c:manualLayout>
              </c:layout>
              <c:tx>
                <c:rich>
                  <a:bodyPr/>
                  <a:lstStyle/>
                  <a:p>
                    <a:fld id="{C79EE2C9-B944-42B1-BEAD-9D9D571437B0}" type="SERIESNAME">
                      <a:rPr lang="en-US">
                        <a:latin typeface="Open Sans" panose="020B0606030504020204" pitchFamily="34" charset="0"/>
                        <a:ea typeface="Open Sans" panose="020B0606030504020204" pitchFamily="34" charset="0"/>
                        <a:cs typeface="Open Sans" panose="020B0606030504020204" pitchFamily="34" charset="0"/>
                      </a:rPr>
                      <a:pPr/>
                      <a:t>[SERIES NAME]</a:t>
                    </a:fld>
                    <a:endParaRPr lang="en-US"/>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15:dlblFieldTable/>
                  <c15:showDataLabelsRange val="0"/>
                </c:ext>
              </c:extLst>
            </c:dLbl>
            <c:spPr>
              <a:noFill/>
              <a:ln>
                <a:noFill/>
              </a:ln>
              <a:effectLst/>
            </c:spPr>
            <c:txPr>
              <a:bodyPr/>
              <a:lstStyle/>
              <a:p>
                <a:pPr>
                  <a:defRPr sz="8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3'!$D$54:$S$54</c:f>
              <c:numCache>
                <c:formatCode>#,##0</c:formatCode>
                <c:ptCount val="16"/>
                <c:pt idx="0">
                  <c:v>351.0</c:v>
                </c:pt>
                <c:pt idx="1">
                  <c:v>441.0</c:v>
                </c:pt>
                <c:pt idx="2">
                  <c:v>536.59363304375</c:v>
                </c:pt>
                <c:pt idx="3">
                  <c:v>681.0768130266376</c:v>
                </c:pt>
                <c:pt idx="4">
                  <c:v>821.8072511930532</c:v>
                </c:pt>
                <c:pt idx="5">
                  <c:v>711.0</c:v>
                </c:pt>
                <c:pt idx="6">
                  <c:v>823.374532175</c:v>
                </c:pt>
                <c:pt idx="7">
                  <c:v>1114.5263529753</c:v>
                </c:pt>
                <c:pt idx="8">
                  <c:v>1243.9985656923</c:v>
                </c:pt>
                <c:pt idx="9">
                  <c:v>1277.8614776923</c:v>
                </c:pt>
                <c:pt idx="10">
                  <c:v>1137.3222001503</c:v>
                </c:pt>
                <c:pt idx="11">
                  <c:v>1169.0</c:v>
                </c:pt>
                <c:pt idx="12">
                  <c:v>1147.0</c:v>
                </c:pt>
                <c:pt idx="13">
                  <c:v>1061.0</c:v>
                </c:pt>
                <c:pt idx="14">
                  <c:v>1108.0</c:v>
                </c:pt>
                <c:pt idx="15" formatCode="General">
                  <c:v>850.0</c:v>
                </c:pt>
              </c:numCache>
            </c:numRef>
          </c:val>
          <c:extLst xmlns:c16r2="http://schemas.microsoft.com/office/drawing/2015/06/chart"/>
        </c:ser>
        <c:ser>
          <c:idx val="50"/>
          <c:order val="2"/>
          <c:tx>
            <c:strRef>
              <c:f>'All UW 1,2 &amp; 3'!$B$37</c:f>
              <c:strCache>
                <c:ptCount val="1"/>
                <c:pt idx="0">
                  <c:v>Buildings NOT heated by central Power Plant</c:v>
                </c:pt>
              </c:strCache>
            </c:strRef>
          </c:tx>
          <c:spPr>
            <a:solidFill>
              <a:srgbClr val="9B6ED1"/>
            </a:solidFill>
            <a:ln>
              <a:solidFill>
                <a:schemeClr val="bg1"/>
              </a:solidFill>
            </a:ln>
          </c:spPr>
          <c:dLbls>
            <c:dLbl>
              <c:idx val="0"/>
              <c:layout>
                <c:manualLayout>
                  <c:x val="0.243258866685748"/>
                  <c:y val="-0.217630916839918"/>
                </c:manualLayout>
              </c:layout>
              <c:tx>
                <c:rich>
                  <a:bodyPr/>
                  <a:lstStyle/>
                  <a:p>
                    <a:pPr>
                      <a:defRPr sz="800" b="0">
                        <a:solidFill>
                          <a:schemeClr val="bg1"/>
                        </a:solidFill>
                        <a:latin typeface="Open Sans"/>
                      </a:defRPr>
                    </a:pPr>
                    <a:r>
                      <a:rPr lang="en-US" sz="800" b="0">
                        <a:solidFill>
                          <a:schemeClr val="bg1"/>
                        </a:solidFill>
                        <a:latin typeface="Open Sans"/>
                      </a:rPr>
                      <a:t>Heating Peripheral Buildings</a:t>
                    </a:r>
                  </a:p>
                </c:rich>
              </c:tx>
              <c:spPr>
                <a:noFill/>
                <a:ln>
                  <a:noFill/>
                </a:ln>
                <a:effectLst/>
              </c:spPr>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8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3'!$D$37:$T$37</c:f>
              <c:numCache>
                <c:formatCode>#,##0</c:formatCode>
                <c:ptCount val="17"/>
                <c:pt idx="0">
                  <c:v>4483.0</c:v>
                </c:pt>
                <c:pt idx="1">
                  <c:v>4632.1114925</c:v>
                </c:pt>
                <c:pt idx="2">
                  <c:v>4665.99835243775</c:v>
                </c:pt>
                <c:pt idx="3">
                  <c:v>4667.762711814063</c:v>
                </c:pt>
                <c:pt idx="4">
                  <c:v>4668.376043572797</c:v>
                </c:pt>
                <c:pt idx="5">
                  <c:v>5079.445970000001</c:v>
                </c:pt>
                <c:pt idx="6">
                  <c:v>4767.658932251</c:v>
                </c:pt>
                <c:pt idx="7">
                  <c:v>4673.055789943</c:v>
                </c:pt>
                <c:pt idx="8">
                  <c:v>4670.216038849</c:v>
                </c:pt>
                <c:pt idx="9">
                  <c:v>4386.750967</c:v>
                </c:pt>
                <c:pt idx="10">
                  <c:v>4336.104317</c:v>
                </c:pt>
                <c:pt idx="11">
                  <c:v>4388.0</c:v>
                </c:pt>
                <c:pt idx="12">
                  <c:v>4779.0</c:v>
                </c:pt>
                <c:pt idx="13">
                  <c:v>5212.0</c:v>
                </c:pt>
                <c:pt idx="14">
                  <c:v>6905.0</c:v>
                </c:pt>
                <c:pt idx="15">
                  <c:v>6965.0</c:v>
                </c:pt>
                <c:pt idx="16">
                  <c:v>7273.0</c:v>
                </c:pt>
              </c:numCache>
            </c:numRef>
          </c:val>
          <c:extLst xmlns:c16r2="http://schemas.microsoft.com/office/drawing/2015/06/chart"/>
        </c:ser>
        <c:ser>
          <c:idx val="54"/>
          <c:order val="4"/>
          <c:tx>
            <c:strRef>
              <c:f>'All UW 1,2 &amp; 3'!$B$46</c:f>
              <c:strCache>
                <c:ptCount val="1"/>
                <c:pt idx="0">
                  <c:v>Vehicles</c:v>
                </c:pt>
              </c:strCache>
            </c:strRef>
          </c:tx>
          <c:spPr>
            <a:solidFill>
              <a:srgbClr val="9B6ED1"/>
            </a:solidFill>
            <a:ln w="6350">
              <a:solidFill>
                <a:schemeClr val="bg1"/>
              </a:solidFill>
            </a:ln>
          </c:spPr>
          <c:dLbls>
            <c:dLbl>
              <c:idx val="0"/>
              <c:layout>
                <c:manualLayout>
                  <c:x val="0.196234086058503"/>
                  <c:y val="-0.242563378011111"/>
                </c:manualLayout>
              </c:layout>
              <c:tx>
                <c:rich>
                  <a:bodyPr/>
                  <a:lstStyle/>
                  <a:p>
                    <a:r>
                      <a:rPr lang="en-US" sz="800" b="0">
                        <a:solidFill>
                          <a:schemeClr val="bg1"/>
                        </a:solidFill>
                        <a:latin typeface="Open Sans"/>
                      </a:rPr>
                      <a:t>Fleet Vehicles</a:t>
                    </a:r>
                    <a:endParaRPr lang="en-US" sz="800" b="0"/>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800" b="0">
                    <a:solidFill>
                      <a:schemeClr val="bg1"/>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3'!$D$46:$T$46</c:f>
              <c:numCache>
                <c:formatCode>#,##0</c:formatCode>
                <c:ptCount val="17"/>
                <c:pt idx="0">
                  <c:v>2629.0</c:v>
                </c:pt>
                <c:pt idx="1">
                  <c:v>2644.0</c:v>
                </c:pt>
                <c:pt idx="2">
                  <c:v>2737.64608845</c:v>
                </c:pt>
                <c:pt idx="3">
                  <c:v>2796.7658551125</c:v>
                </c:pt>
                <c:pt idx="4">
                  <c:v>2848.929454009375</c:v>
                </c:pt>
                <c:pt idx="5">
                  <c:v>2689.0</c:v>
                </c:pt>
                <c:pt idx="6">
                  <c:v>3018.584353799999</c:v>
                </c:pt>
                <c:pt idx="7">
                  <c:v>2974.1251551</c:v>
                </c:pt>
                <c:pt idx="8">
                  <c:v>3005.4202507</c:v>
                </c:pt>
                <c:pt idx="9">
                  <c:v>2828.336881</c:v>
                </c:pt>
                <c:pt idx="10">
                  <c:v>2679.3043743</c:v>
                </c:pt>
                <c:pt idx="11">
                  <c:v>2716.0</c:v>
                </c:pt>
                <c:pt idx="12">
                  <c:v>2631.0</c:v>
                </c:pt>
                <c:pt idx="13">
                  <c:v>2756.0</c:v>
                </c:pt>
                <c:pt idx="14">
                  <c:v>2723.0</c:v>
                </c:pt>
                <c:pt idx="15">
                  <c:v>2589.0</c:v>
                </c:pt>
                <c:pt idx="16">
                  <c:v>2419.0</c:v>
                </c:pt>
              </c:numCache>
            </c:numRef>
          </c:val>
          <c:extLst xmlns:c16r2="http://schemas.microsoft.com/office/drawing/2015/06/chart"/>
        </c:ser>
        <c:ser>
          <c:idx val="55"/>
          <c:order val="5"/>
          <c:tx>
            <c:strRef>
              <c:f>'All UW 1,2 &amp; 3'!$B$48</c:f>
              <c:strCache>
                <c:ptCount val="1"/>
                <c:pt idx="0">
                  <c:v>Fugitive Gases</c:v>
                </c:pt>
              </c:strCache>
            </c:strRef>
          </c:tx>
          <c:spPr>
            <a:solidFill>
              <a:srgbClr val="BA9BDE"/>
            </a:solidFill>
            <a:ln>
              <a:solidFill>
                <a:schemeClr val="bg1"/>
              </a:solidFill>
            </a:ln>
          </c:spPr>
          <c:dLbls>
            <c:dLbl>
              <c:idx val="0"/>
              <c:delete val="1"/>
              <c:extLst xmlns:c16r2="http://schemas.microsoft.com/office/drawing/2015/06/chart">
                <c:ext xmlns:c15="http://schemas.microsoft.com/office/drawing/2012/chart" uri="{CE6537A1-D6FC-4f65-9D91-7224C49458BB}"/>
              </c:extLst>
            </c:dLbl>
            <c:spPr>
              <a:noFill/>
              <a:ln>
                <a:noFill/>
              </a:ln>
              <a:effectLst/>
            </c:spPr>
            <c:txPr>
              <a:bodyPr/>
              <a:lstStyle/>
              <a:p>
                <a:pPr>
                  <a:defRPr sz="8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3'!$D$48:$S$48</c:f>
              <c:numCache>
                <c:formatCode>#,##0</c:formatCode>
                <c:ptCount val="16"/>
                <c:pt idx="0">
                  <c:v>1820.0</c:v>
                </c:pt>
                <c:pt idx="1">
                  <c:v>1399.0</c:v>
                </c:pt>
                <c:pt idx="2">
                  <c:v>1083.25</c:v>
                </c:pt>
                <c:pt idx="3">
                  <c:v>846.4375</c:v>
                </c:pt>
                <c:pt idx="4">
                  <c:v>668.828125</c:v>
                </c:pt>
                <c:pt idx="5">
                  <c:v>136.0</c:v>
                </c:pt>
                <c:pt idx="6">
                  <c:v>136</c:v>
                </c:pt>
                <c:pt idx="7">
                  <c:v>136</c:v>
                </c:pt>
                <c:pt idx="8">
                  <c:v>136</c:v>
                </c:pt>
                <c:pt idx="9">
                  <c:v>136.0</c:v>
                </c:pt>
                <c:pt idx="10">
                  <c:v>136</c:v>
                </c:pt>
                <c:pt idx="11">
                  <c:v>136.0</c:v>
                </c:pt>
                <c:pt idx="12">
                  <c:v>136.0</c:v>
                </c:pt>
                <c:pt idx="13">
                  <c:v>136.0</c:v>
                </c:pt>
                <c:pt idx="14">
                  <c:v>136.0</c:v>
                </c:pt>
                <c:pt idx="15" formatCode="General">
                  <c:v>136.0</c:v>
                </c:pt>
              </c:numCache>
            </c:numRef>
          </c:val>
          <c:extLst xmlns:c16r2="http://schemas.microsoft.com/office/drawing/2015/06/chart"/>
        </c:ser>
        <c:ser>
          <c:idx val="52"/>
          <c:order val="6"/>
          <c:tx>
            <c:strRef>
              <c:f>'All UW 1,2 &amp; 3'!$B$47</c:f>
              <c:strCache>
                <c:ptCount val="1"/>
                <c:pt idx="0">
                  <c:v>Landfill</c:v>
                </c:pt>
              </c:strCache>
            </c:strRef>
          </c:tx>
          <c:spPr>
            <a:solidFill>
              <a:srgbClr val="9B6ED1"/>
            </a:solidFill>
            <a:ln w="6350">
              <a:solidFill>
                <a:schemeClr val="bg1"/>
              </a:solidFill>
            </a:ln>
          </c:spPr>
          <c:dLbls>
            <c:dLbl>
              <c:idx val="0"/>
              <c:layout>
                <c:manualLayout>
                  <c:x val="-0.244613739157233"/>
                  <c:y val="-0.0182730964625253"/>
                </c:manualLayout>
              </c:layout>
              <c:tx>
                <c:rich>
                  <a:bodyPr/>
                  <a:lstStyle/>
                  <a:p>
                    <a:r>
                      <a:rPr lang="en-US">
                        <a:latin typeface="Open Sans" panose="020B0606030504020204" pitchFamily="34" charset="0"/>
                        <a:ea typeface="Open Sans" panose="020B0606030504020204" pitchFamily="34" charset="0"/>
                        <a:cs typeface="Open Sans" panose="020B0606030504020204" pitchFamily="34" charset="0"/>
                      </a:rPr>
                      <a:t>Landfill</a:t>
                    </a:r>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000" b="0"/>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3'!$D$47:$T$47</c:f>
              <c:numCache>
                <c:formatCode>#,##0</c:formatCode>
                <c:ptCount val="17"/>
                <c:pt idx="0">
                  <c:v>16597.0</c:v>
                </c:pt>
                <c:pt idx="1">
                  <c:v>15635.75</c:v>
                </c:pt>
                <c:pt idx="2">
                  <c:v>14741.83994818426</c:v>
                </c:pt>
                <c:pt idx="3">
                  <c:v>13904.35700767034</c:v>
                </c:pt>
                <c:pt idx="4">
                  <c:v>13118.449983599</c:v>
                </c:pt>
                <c:pt idx="5">
                  <c:v>12752.0</c:v>
                </c:pt>
                <c:pt idx="6">
                  <c:v>12060.10979273706</c:v>
                </c:pt>
                <c:pt idx="7">
                  <c:v>11391.90818612855</c:v>
                </c:pt>
                <c:pt idx="8">
                  <c:v>10760.72891138498</c:v>
                </c:pt>
                <c:pt idx="9">
                  <c:v>10164.52071</c:v>
                </c:pt>
                <c:pt idx="10">
                  <c:v>9601.345982277098</c:v>
                </c:pt>
                <c:pt idx="11">
                  <c:v>9069.0</c:v>
                </c:pt>
                <c:pt idx="12">
                  <c:v>8567.0</c:v>
                </c:pt>
                <c:pt idx="13">
                  <c:v>8092.0</c:v>
                </c:pt>
                <c:pt idx="14">
                  <c:v>7648.0</c:v>
                </c:pt>
                <c:pt idx="15">
                  <c:v>7224.0</c:v>
                </c:pt>
                <c:pt idx="16">
                  <c:v>6824.0</c:v>
                </c:pt>
              </c:numCache>
            </c:numRef>
          </c:val>
          <c:extLst xmlns:c16r2="http://schemas.microsoft.com/office/drawing/2015/06/chart"/>
        </c:ser>
        <c:ser>
          <c:idx val="51"/>
          <c:order val="7"/>
          <c:tx>
            <c:strRef>
              <c:f>'All UW 1,2 &amp; 3'!$B$36</c:f>
              <c:strCache>
                <c:ptCount val="1"/>
                <c:pt idx="0">
                  <c:v>Buildings heated by central power plant</c:v>
                </c:pt>
              </c:strCache>
            </c:strRef>
          </c:tx>
          <c:spPr>
            <a:solidFill>
              <a:srgbClr val="9B6ED1"/>
            </a:solidFill>
            <a:ln w="6350">
              <a:solidFill>
                <a:schemeClr val="bg1"/>
              </a:solidFill>
            </a:ln>
          </c:spPr>
          <c:dLbls>
            <c:dLbl>
              <c:idx val="0"/>
              <c:layout>
                <c:manualLayout>
                  <c:x val="0.0248249472826983"/>
                  <c:y val="0.0526315789473684"/>
                </c:manualLayout>
              </c:layout>
              <c:tx>
                <c:rich>
                  <a:bodyPr/>
                  <a:lstStyle/>
                  <a:p>
                    <a:r>
                      <a:rPr lang="en-US" sz="1100" b="0">
                        <a:solidFill>
                          <a:schemeClr val="bg1"/>
                        </a:solidFill>
                        <a:latin typeface="Open Sans"/>
                      </a:rPr>
                      <a:t>Heating Buildings (Power Plant)</a:t>
                    </a:r>
                    <a:endParaRPr lang="en-US" sz="1100" b="0"/>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100" b="0">
                    <a:solidFill>
                      <a:schemeClr val="bg1"/>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'All UW 1,2 &amp; 3'!$D$34:$T$34</c:f>
              <c:numCache>
                <c:formatCode>General</c:formatCode>
                <c:ptCount val="17"/>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numCache>
            </c:numRef>
          </c:cat>
          <c:val>
            <c:numRef>
              <c:f>'All UW 1,2 &amp; 3'!$D$36:$T$36</c:f>
              <c:numCache>
                <c:formatCode>#,##0</c:formatCode>
                <c:ptCount val="17"/>
                <c:pt idx="0">
                  <c:v>90528.0</c:v>
                </c:pt>
                <c:pt idx="1">
                  <c:v>88564.5</c:v>
                </c:pt>
                <c:pt idx="2">
                  <c:v>87749.54808722375</c:v>
                </c:pt>
                <c:pt idx="3">
                  <c:v>86908.01461055032</c:v>
                </c:pt>
                <c:pt idx="4">
                  <c:v>87751.3284284415</c:v>
                </c:pt>
                <c:pt idx="5">
                  <c:v>82674.0</c:v>
                </c:pt>
                <c:pt idx="6">
                  <c:v>85304.692348895</c:v>
                </c:pt>
                <c:pt idx="7">
                  <c:v>84383.41418053001</c:v>
                </c:pt>
                <c:pt idx="8">
                  <c:v>90281.26988211501</c:v>
                </c:pt>
                <c:pt idx="9">
                  <c:v>86176.36127</c:v>
                </c:pt>
                <c:pt idx="10">
                  <c:v>79464.45538124999</c:v>
                </c:pt>
                <c:pt idx="11">
                  <c:v>83103.0</c:v>
                </c:pt>
                <c:pt idx="12">
                  <c:v>79751.0</c:v>
                </c:pt>
                <c:pt idx="13">
                  <c:v>85532.0</c:v>
                </c:pt>
                <c:pt idx="14">
                  <c:v>77805.0</c:v>
                </c:pt>
                <c:pt idx="15">
                  <c:v>78344.0</c:v>
                </c:pt>
                <c:pt idx="16">
                  <c:v>82951.0</c:v>
                </c:pt>
              </c:numCache>
            </c:numRef>
          </c:val>
          <c:extLst xmlns:c16r2="http://schemas.microsoft.com/office/drawing/2015/06/chart"/>
        </c:ser>
        <c:dLbls>
          <c:showLegendKey val="0"/>
          <c:showVal val="0"/>
          <c:showCatName val="0"/>
          <c:showSerName val="0"/>
          <c:showPercent val="0"/>
          <c:showBubbleSize val="0"/>
        </c:dLbls>
        <c:axId val="-519767520"/>
        <c:axId val="-520061808"/>
      </c:areaChart>
      <c:lineChart>
        <c:grouping val="standard"/>
        <c:varyColors val="0"/>
        <c:ser>
          <c:idx val="0"/>
          <c:order val="3"/>
          <c:tx>
            <c:strRef>
              <c:f>'All UW 1,2 &amp; 3'!$B$110</c:f>
              <c:strCache>
                <c:ptCount val="1"/>
              </c:strCache>
            </c:strRef>
          </c:tx>
          <c:spPr>
            <a:ln w="19050">
              <a:solidFill>
                <a:srgbClr val="39006F"/>
              </a:solidFill>
            </a:ln>
          </c:spPr>
          <c:marker>
            <c:spPr>
              <a:solidFill>
                <a:srgbClr val="39006F"/>
              </a:solidFill>
              <a:ln>
                <a:solidFill>
                  <a:srgbClr val="39006F"/>
                </a:solidFill>
              </a:ln>
            </c:spPr>
          </c:marker>
          <c:dPt>
            <c:idx val="1"/>
            <c:marker>
              <c:symbol val="none"/>
            </c:marker>
            <c:bubble3D val="0"/>
            <c:extLst xmlns:c16r2="http://schemas.microsoft.com/office/drawing/2015/06/chart"/>
          </c:dPt>
          <c:dPt>
            <c:idx val="2"/>
            <c:marker>
              <c:symbol val="none"/>
            </c:marker>
            <c:bubble3D val="0"/>
            <c:extLst xmlns:c16r2="http://schemas.microsoft.com/office/drawing/2015/06/chart"/>
          </c:dPt>
          <c:dPt>
            <c:idx val="3"/>
            <c:marker>
              <c:symbol val="none"/>
            </c:marker>
            <c:bubble3D val="0"/>
            <c:extLst xmlns:c16r2="http://schemas.microsoft.com/office/drawing/2015/06/chart"/>
          </c:dPt>
          <c:val>
            <c:numRef>
              <c:f>'All UW 1,2 &amp; 3'!$D$110:$S$110</c:f>
              <c:numCache>
                <c:formatCode>#,##0</c:formatCode>
                <c:ptCount val="16"/>
                <c:pt idx="0" formatCode="General">
                  <c:v>4970.0</c:v>
                </c:pt>
                <c:pt idx="5" formatCode="General">
                  <c:v>4489.0</c:v>
                </c:pt>
                <c:pt idx="6" formatCode="General">
                  <c:v>4476.0</c:v>
                </c:pt>
                <c:pt idx="7" formatCode="General">
                  <c:v>4823.0</c:v>
                </c:pt>
                <c:pt idx="8" formatCode="General">
                  <c:v>5062.0</c:v>
                </c:pt>
                <c:pt idx="9" formatCode="General">
                  <c:v>4897.0</c:v>
                </c:pt>
                <c:pt idx="10" formatCode="General">
                  <c:v>4549.0</c:v>
                </c:pt>
                <c:pt idx="11" formatCode="General">
                  <c:v>5146.0</c:v>
                </c:pt>
                <c:pt idx="12" formatCode="General">
                  <c:v>4738.0</c:v>
                </c:pt>
                <c:pt idx="13" formatCode="General">
                  <c:v>4381.0</c:v>
                </c:pt>
                <c:pt idx="14" formatCode="General">
                  <c:v>3889.0</c:v>
                </c:pt>
                <c:pt idx="15" formatCode="General">
                  <c:v>3855.0</c:v>
                </c:pt>
              </c:numCache>
            </c:numRef>
          </c:val>
          <c:smooth val="0"/>
          <c:extLst xmlns:c16r2="http://schemas.microsoft.com/office/drawing/2015/06/chart"/>
        </c:ser>
        <c:dLbls>
          <c:showLegendKey val="0"/>
          <c:showVal val="0"/>
          <c:showCatName val="0"/>
          <c:showSerName val="0"/>
          <c:showPercent val="0"/>
          <c:showBubbleSize val="0"/>
        </c:dLbls>
        <c:marker val="1"/>
        <c:smooth val="0"/>
        <c:axId val="-520032960"/>
        <c:axId val="-520053600"/>
      </c:lineChart>
      <c:catAx>
        <c:axId val="-519767520"/>
        <c:scaling>
          <c:orientation val="minMax"/>
        </c:scaling>
        <c:delete val="0"/>
        <c:axPos val="b"/>
        <c:numFmt formatCode="General" sourceLinked="1"/>
        <c:majorTickMark val="out"/>
        <c:minorTickMark val="none"/>
        <c:tickLblPos val="nextTo"/>
        <c:spPr>
          <a:ln>
            <a:noFill/>
          </a:ln>
        </c:spPr>
        <c:txPr>
          <a:bodyPr rot="0"/>
          <a:lstStyle/>
          <a:p>
            <a:pPr>
              <a:defRPr sz="1000">
                <a:solidFill>
                  <a:srgbClr val="33006F"/>
                </a:solidFill>
                <a:latin typeface="Open Sans"/>
              </a:defRPr>
            </a:pPr>
            <a:endParaRPr lang="en-US"/>
          </a:p>
        </c:txPr>
        <c:crossAx val="-520061808"/>
        <c:crosses val="autoZero"/>
        <c:auto val="1"/>
        <c:lblAlgn val="ctr"/>
        <c:lblOffset val="100"/>
        <c:noMultiLvlLbl val="0"/>
      </c:catAx>
      <c:valAx>
        <c:axId val="-520061808"/>
        <c:scaling>
          <c:orientation val="minMax"/>
        </c:scaling>
        <c:delete val="0"/>
        <c:axPos val="l"/>
        <c:majorGridlines>
          <c:spPr>
            <a:ln>
              <a:solidFill>
                <a:schemeClr val="bg1">
                  <a:lumMod val="95000"/>
                </a:schemeClr>
              </a:solidFill>
            </a:ln>
          </c:spPr>
        </c:majorGridlines>
        <c:title>
          <c:tx>
            <c:rich>
              <a:bodyPr/>
              <a:lstStyle/>
              <a:p>
                <a:pPr>
                  <a:defRPr b="1" i="0">
                    <a:solidFill>
                      <a:srgbClr val="33006F"/>
                    </a:solidFill>
                    <a:latin typeface="Open Sans"/>
                  </a:defRPr>
                </a:pPr>
                <a:r>
                  <a:rPr lang="en-US" b="1" i="0">
                    <a:solidFill>
                      <a:srgbClr val="33006F"/>
                    </a:solidFill>
                    <a:latin typeface="Open Sans"/>
                  </a:rPr>
                  <a:t>Metric Tons of Greenhouse Gases </a:t>
                </a:r>
              </a:p>
              <a:p>
                <a:pPr>
                  <a:defRPr b="1" i="0">
                    <a:solidFill>
                      <a:srgbClr val="33006F"/>
                    </a:solidFill>
                    <a:latin typeface="Open Sans"/>
                  </a:defRPr>
                </a:pPr>
                <a:r>
                  <a:rPr lang="en-US" b="1" i="0">
                    <a:solidFill>
                      <a:srgbClr val="33006F"/>
                    </a:solidFill>
                    <a:latin typeface="Open Sans"/>
                  </a:rPr>
                  <a:t>(CO2 Equivalent)</a:t>
                </a:r>
              </a:p>
            </c:rich>
          </c:tx>
          <c:layout/>
          <c:overlay val="0"/>
        </c:title>
        <c:numFmt formatCode="#,##0" sourceLinked="1"/>
        <c:majorTickMark val="out"/>
        <c:minorTickMark val="none"/>
        <c:tickLblPos val="nextTo"/>
        <c:spPr>
          <a:ln>
            <a:noFill/>
          </a:ln>
        </c:spPr>
        <c:txPr>
          <a:bodyPr/>
          <a:lstStyle/>
          <a:p>
            <a:pPr>
              <a:defRPr>
                <a:solidFill>
                  <a:srgbClr val="33006F"/>
                </a:solidFill>
                <a:latin typeface="Open Sans"/>
              </a:defRPr>
            </a:pPr>
            <a:endParaRPr lang="en-US"/>
          </a:p>
        </c:txPr>
        <c:crossAx val="-519767520"/>
        <c:crosses val="autoZero"/>
        <c:crossBetween val="between"/>
      </c:valAx>
      <c:valAx>
        <c:axId val="-520053600"/>
        <c:scaling>
          <c:orientation val="minMax"/>
          <c:max val="6300.0"/>
          <c:min val="0.0"/>
        </c:scaling>
        <c:delete val="0"/>
        <c:axPos val="r"/>
        <c:title>
          <c:tx>
            <c:rich>
              <a:bodyPr/>
              <a:lstStyle/>
              <a:p>
                <a:pPr>
                  <a:defRPr b="1" i="0">
                    <a:solidFill>
                      <a:srgbClr val="33006F"/>
                    </a:solidFill>
                    <a:latin typeface="Open Sans"/>
                  </a:defRPr>
                </a:pPr>
                <a:r>
                  <a:rPr lang="en-US" b="1" i="0">
                    <a:solidFill>
                      <a:srgbClr val="33006F"/>
                    </a:solidFill>
                    <a:latin typeface="Open Sans"/>
                  </a:rPr>
                  <a:t>Heating Degree Days </a:t>
                </a:r>
              </a:p>
              <a:p>
                <a:pPr>
                  <a:defRPr b="1" i="0">
                    <a:solidFill>
                      <a:srgbClr val="33006F"/>
                    </a:solidFill>
                    <a:latin typeface="Open Sans"/>
                  </a:defRPr>
                </a:pPr>
                <a:r>
                  <a:rPr lang="en-US" b="1" i="0">
                    <a:solidFill>
                      <a:srgbClr val="33006F"/>
                    </a:solidFill>
                    <a:latin typeface="Open Sans"/>
                  </a:rPr>
                  <a:t>(higher = colder year)</a:t>
                </a:r>
              </a:p>
            </c:rich>
          </c:tx>
          <c:layout>
            <c:manualLayout>
              <c:xMode val="edge"/>
              <c:yMode val="edge"/>
              <c:x val="0.941199730059929"/>
              <c:y val="0.38937944850549"/>
            </c:manualLayout>
          </c:layout>
          <c:overlay val="0"/>
        </c:title>
        <c:numFmt formatCode="General" sourceLinked="1"/>
        <c:majorTickMark val="out"/>
        <c:minorTickMark val="none"/>
        <c:tickLblPos val="nextTo"/>
        <c:spPr>
          <a:ln>
            <a:noFill/>
          </a:ln>
        </c:spPr>
        <c:txPr>
          <a:bodyPr/>
          <a:lstStyle/>
          <a:p>
            <a:pPr>
              <a:defRPr b="0" i="0">
                <a:solidFill>
                  <a:srgbClr val="33006F"/>
                </a:solidFill>
                <a:latin typeface="Open Sans"/>
              </a:defRPr>
            </a:pPr>
            <a:endParaRPr lang="en-US"/>
          </a:p>
        </c:txPr>
        <c:crossAx val="-520032960"/>
        <c:crosses val="max"/>
        <c:crossBetween val="between"/>
      </c:valAx>
      <c:catAx>
        <c:axId val="-520032960"/>
        <c:scaling>
          <c:orientation val="minMax"/>
        </c:scaling>
        <c:delete val="1"/>
        <c:axPos val="b"/>
        <c:majorTickMark val="out"/>
        <c:minorTickMark val="none"/>
        <c:tickLblPos val="none"/>
        <c:crossAx val="-520053600"/>
        <c:crosses val="autoZero"/>
        <c:auto val="1"/>
        <c:lblAlgn val="ctr"/>
        <c:lblOffset val="100"/>
        <c:noMultiLvlLbl val="0"/>
      </c:catAx>
      <c:spPr>
        <a:ln>
          <a:noFill/>
        </a:ln>
      </c:spPr>
    </c:plotArea>
    <c:plotVisOnly val="1"/>
    <c:dispBlanksAs val="gap"/>
    <c:showDLblsOverMax val="0"/>
  </c:chart>
  <c:spPr>
    <a:solidFill>
      <a:schemeClr val="bg1"/>
    </a:solidFill>
    <a:ln>
      <a:noFill/>
    </a:ln>
  </c:spPr>
  <c:txPr>
    <a:bodyPr/>
    <a:lstStyle/>
    <a:p>
      <a:pPr>
        <a:defRPr>
          <a:latin typeface="Trebuchet MS"/>
          <a:cs typeface="Trebuchet MS"/>
        </a:defRPr>
      </a:pPr>
      <a:endParaRPr lang="en-US"/>
    </a:p>
  </c:txPr>
  <c:printSettings>
    <c:headerFooter/>
    <c:pageMargins b="1.0" l="0.750000000000002" r="0.750000000000002" t="1.0"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a:solidFill>
                  <a:srgbClr val="33006F"/>
                </a:solidFill>
                <a:latin typeface="Encode Sans Narrow Black"/>
              </a:defRPr>
            </a:pPr>
            <a:r>
              <a:rPr lang="en-US" sz="1800">
                <a:solidFill>
                  <a:srgbClr val="33006F"/>
                </a:solidFill>
                <a:effectLst/>
                <a:latin typeface="Encode Sans Narrow Black"/>
              </a:rPr>
              <a:t>UW GREENHOUSE GAS EMISSIONS</a:t>
            </a:r>
          </a:p>
        </c:rich>
      </c:tx>
      <c:layout>
        <c:manualLayout>
          <c:xMode val="edge"/>
          <c:yMode val="edge"/>
          <c:x val="0.257745540883261"/>
          <c:y val="0.000960495739736638"/>
        </c:manualLayout>
      </c:layout>
      <c:overlay val="1"/>
    </c:title>
    <c:autoTitleDeleted val="0"/>
    <c:plotArea>
      <c:layout>
        <c:manualLayout>
          <c:layoutTarget val="inner"/>
          <c:xMode val="edge"/>
          <c:yMode val="edge"/>
          <c:x val="0.154906057942486"/>
          <c:y val="0.0700207628213584"/>
          <c:w val="0.836662768639069"/>
          <c:h val="0.745363079615048"/>
        </c:manualLayout>
      </c:layout>
      <c:areaChart>
        <c:grouping val="stacked"/>
        <c:varyColors val="0"/>
        <c:ser>
          <c:idx val="0"/>
          <c:order val="0"/>
          <c:tx>
            <c:strRef>
              <c:f>'All UW 1,2 &amp; 3'!$B$63</c:f>
              <c:strCache>
                <c:ptCount val="1"/>
                <c:pt idx="0">
                  <c:v>Scope 1</c:v>
                </c:pt>
              </c:strCache>
            </c:strRef>
          </c:tx>
          <c:spPr>
            <a:solidFill>
              <a:srgbClr val="9B6ED1"/>
            </a:solidFill>
            <a:ln>
              <a:noFill/>
            </a:ln>
            <a:effectLst/>
          </c:spPr>
          <c:dLbls>
            <c:dLbl>
              <c:idx val="0"/>
              <c:layout>
                <c:manualLayout>
                  <c:x val="-0.227471343827746"/>
                  <c:y val="-0.00363963959217703"/>
                </c:manualLayout>
              </c:layout>
              <c:tx>
                <c:rich>
                  <a:bodyPr/>
                  <a:lstStyle/>
                  <a:p>
                    <a:r>
                      <a:rPr lang="en-US">
                        <a:solidFill>
                          <a:srgbClr val="FFFFFF"/>
                        </a:solidFill>
                      </a:rPr>
                      <a:t>Scope </a:t>
                    </a:r>
                    <a:r>
                      <a:rPr lang="en-US">
                        <a:solidFill>
                          <a:schemeClr val="bg1"/>
                        </a:solidFill>
                      </a:rPr>
                      <a:t>1</a:t>
                    </a:r>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200" b="1" i="0">
                    <a:solidFill>
                      <a:srgbClr val="33006F"/>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'All UW 1,2 &amp; 3'!$D$63:$T$63</c:f>
              <c:numCache>
                <c:formatCode>#,##0</c:formatCode>
                <c:ptCount val="17"/>
                <c:pt idx="0">
                  <c:v>117020.0</c:v>
                </c:pt>
                <c:pt idx="1">
                  <c:v>113990.6114925</c:v>
                </c:pt>
                <c:pt idx="2">
                  <c:v>112241.1104018133</c:v>
                </c:pt>
                <c:pt idx="3">
                  <c:v>110587.2088545537</c:v>
                </c:pt>
                <c:pt idx="4">
                  <c:v>110679.3098694319</c:v>
                </c:pt>
                <c:pt idx="5">
                  <c:v>104902.44597</c:v>
                </c:pt>
                <c:pt idx="6">
                  <c:v>106992.6071297534</c:v>
                </c:pt>
                <c:pt idx="7">
                  <c:v>105625.5042127749</c:v>
                </c:pt>
                <c:pt idx="8">
                  <c:v>110955.6129140663</c:v>
                </c:pt>
                <c:pt idx="9">
                  <c:v>105752.3741776134</c:v>
                </c:pt>
                <c:pt idx="10">
                  <c:v>98058.46741664392</c:v>
                </c:pt>
                <c:pt idx="11">
                  <c:v>101127.0</c:v>
                </c:pt>
                <c:pt idx="12">
                  <c:v>97521.0</c:v>
                </c:pt>
                <c:pt idx="13">
                  <c:v>103362.0</c:v>
                </c:pt>
                <c:pt idx="14">
                  <c:v>97059.0</c:v>
                </c:pt>
                <c:pt idx="15">
                  <c:v>96988.0</c:v>
                </c:pt>
                <c:pt idx="16">
                  <c:v>101432.0</c:v>
                </c:pt>
              </c:numCache>
            </c:numRef>
          </c:val>
          <c:extLst xmlns:c16r2="http://schemas.microsoft.com/office/drawing/2015/06/chart"/>
        </c:ser>
        <c:ser>
          <c:idx val="2"/>
          <c:order val="2"/>
          <c:tx>
            <c:strRef>
              <c:f>'All UW 1,2 &amp; 3'!$B$82</c:f>
              <c:strCache>
                <c:ptCount val="1"/>
                <c:pt idx="0">
                  <c:v>Scope 2</c:v>
                </c:pt>
              </c:strCache>
            </c:strRef>
          </c:tx>
          <c:spPr>
            <a:solidFill>
              <a:srgbClr val="BA9BDE"/>
            </a:solidFill>
            <a:ln>
              <a:noFill/>
            </a:ln>
            <a:effectLst/>
          </c:spPr>
          <c:dLbls>
            <c:dLbl>
              <c:idx val="0"/>
              <c:layout>
                <c:manualLayout>
                  <c:x val="-0.228076217883656"/>
                  <c:y val="-0.029387383092021"/>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200" b="1" i="0">
                    <a:solidFill>
                      <a:schemeClr val="bg1"/>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'All UW 1,2 &amp; 3'!$D$82:$T$82</c:f>
              <c:numCache>
                <c:formatCode>#,##0</c:formatCode>
                <c:ptCount val="17"/>
                <c:pt idx="0">
                  <c:v>25868.0</c:v>
                </c:pt>
                <c:pt idx="1">
                  <c:v>21373.75</c:v>
                </c:pt>
                <c:pt idx="2">
                  <c:v>18087.98846932832</c:v>
                </c:pt>
                <c:pt idx="3">
                  <c:v>15655.99453949099</c:v>
                </c:pt>
                <c:pt idx="4">
                  <c:v>13515.78620761267</c:v>
                </c:pt>
                <c:pt idx="5">
                  <c:v>7891.0</c:v>
                </c:pt>
                <c:pt idx="6">
                  <c:v>8230.703877313284</c:v>
                </c:pt>
                <c:pt idx="7">
                  <c:v>8360.012749978997</c:v>
                </c:pt>
                <c:pt idx="8">
                  <c:v>7095.16121197773</c:v>
                </c:pt>
                <c:pt idx="9">
                  <c:v>7309.523812760081</c:v>
                </c:pt>
                <c:pt idx="10">
                  <c:v>6814.77174841244</c:v>
                </c:pt>
                <c:pt idx="11">
                  <c:v>8058.0</c:v>
                </c:pt>
                <c:pt idx="12">
                  <c:v>7548.0</c:v>
                </c:pt>
                <c:pt idx="13">
                  <c:v>7497.0</c:v>
                </c:pt>
                <c:pt idx="14">
                  <c:v>8495.0</c:v>
                </c:pt>
                <c:pt idx="15">
                  <c:v>8324.0</c:v>
                </c:pt>
                <c:pt idx="16">
                  <c:v>8267.0</c:v>
                </c:pt>
              </c:numCache>
            </c:numRef>
          </c:val>
          <c:extLst xmlns:c16r2="http://schemas.microsoft.com/office/drawing/2015/06/chart"/>
        </c:ser>
        <c:ser>
          <c:idx val="1"/>
          <c:order val="3"/>
          <c:tx>
            <c:strRef>
              <c:f>'All UW 1,2 &amp; 3'!$B$101</c:f>
              <c:strCache>
                <c:ptCount val="1"/>
                <c:pt idx="0">
                  <c:v>Scope 3</c:v>
                </c:pt>
              </c:strCache>
            </c:strRef>
          </c:tx>
          <c:spPr>
            <a:solidFill>
              <a:srgbClr val="D6C0EF"/>
            </a:solidFill>
            <a:ln>
              <a:noFill/>
            </a:ln>
            <a:effectLst/>
          </c:spPr>
          <c:dLbls>
            <c:dLbl>
              <c:idx val="0"/>
              <c:layout>
                <c:manualLayout>
                  <c:x val="-0.227803567208978"/>
                  <c:y val="-0.0171684989548911"/>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200" b="1" i="0">
                    <a:solidFill>
                      <a:schemeClr val="bg1"/>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'All UW 1,2 &amp; 3'!$D$101:$T$101</c:f>
              <c:numCache>
                <c:formatCode>#,##0</c:formatCode>
                <c:ptCount val="17"/>
                <c:pt idx="0">
                  <c:v>83115.43</c:v>
                </c:pt>
                <c:pt idx="1">
                  <c:v>84630.3225</c:v>
                </c:pt>
                <c:pt idx="2">
                  <c:v>85702.7308806167</c:v>
                </c:pt>
                <c:pt idx="3">
                  <c:v>85922.35051211171</c:v>
                </c:pt>
                <c:pt idx="4">
                  <c:v>86632.29243528051</c:v>
                </c:pt>
                <c:pt idx="5">
                  <c:v>89175.0</c:v>
                </c:pt>
                <c:pt idx="6">
                  <c:v>88919.95602246678</c:v>
                </c:pt>
                <c:pt idx="7">
                  <c:v>86581.20940659678</c:v>
                </c:pt>
                <c:pt idx="8">
                  <c:v>88762.1182047869</c:v>
                </c:pt>
                <c:pt idx="9">
                  <c:v>77143.56754851094</c:v>
                </c:pt>
                <c:pt idx="10">
                  <c:v>79014.23993763047</c:v>
                </c:pt>
                <c:pt idx="11">
                  <c:v>81537.0</c:v>
                </c:pt>
                <c:pt idx="12">
                  <c:v>81387.0</c:v>
                </c:pt>
                <c:pt idx="13">
                  <c:v>81397.0</c:v>
                </c:pt>
                <c:pt idx="14">
                  <c:v>79845.0</c:v>
                </c:pt>
                <c:pt idx="15">
                  <c:v>77699.0</c:v>
                </c:pt>
                <c:pt idx="16">
                  <c:v>72995.0</c:v>
                </c:pt>
              </c:numCache>
            </c:numRef>
          </c:val>
          <c:extLst xmlns:c16r2="http://schemas.microsoft.com/office/drawing/2015/06/chart"/>
        </c:ser>
        <c:dLbls>
          <c:showLegendKey val="0"/>
          <c:showVal val="0"/>
          <c:showCatName val="0"/>
          <c:showSerName val="0"/>
          <c:showPercent val="0"/>
          <c:showBubbleSize val="0"/>
        </c:dLbls>
        <c:axId val="-438856512"/>
        <c:axId val="-438860256"/>
      </c:areaChart>
      <c:lineChart>
        <c:grouping val="standard"/>
        <c:varyColors val="0"/>
        <c:ser>
          <c:idx val="11"/>
          <c:order val="1"/>
          <c:spPr>
            <a:ln w="19050">
              <a:solidFill>
                <a:schemeClr val="bg1">
                  <a:lumMod val="50000"/>
                </a:schemeClr>
              </a:solidFill>
              <a:prstDash val="sysDash"/>
            </a:ln>
            <a:effectLst/>
          </c:spPr>
          <c:marker>
            <c:symbol val="none"/>
          </c:marker>
          <c:dPt>
            <c:idx val="20"/>
            <c:marker>
              <c:symbol val="circle"/>
              <c:size val="6"/>
              <c:spPr>
                <a:solidFill>
                  <a:srgbClr val="39006F"/>
                </a:solidFill>
                <a:ln>
                  <a:noFill/>
                </a:ln>
                <a:effectLst/>
              </c:spPr>
            </c:marker>
            <c:bubble3D val="0"/>
            <c:spPr>
              <a:ln w="19050">
                <a:solidFill>
                  <a:schemeClr val="bg1">
                    <a:lumMod val="50000"/>
                  </a:schemeClr>
                </a:solidFill>
                <a:prstDash val="sysDash"/>
              </a:ln>
              <a:effectLst/>
            </c:spPr>
            <c:extLst xmlns:c16r2="http://schemas.microsoft.com/office/drawing/2015/06/chart"/>
          </c:dPt>
          <c:dLbls>
            <c:dLbl>
              <c:idx val="11"/>
              <c:layout>
                <c:manualLayout>
                  <c:x val="0.131123679472035"/>
                  <c:y val="-0.00983797584439982"/>
                </c:manualLayout>
              </c:layout>
              <c:tx>
                <c:rich>
                  <a:bodyPr/>
                  <a:lstStyle/>
                  <a:p>
                    <a:r>
                      <a:rPr lang="pt-BR" b="1">
                        <a:solidFill>
                          <a:schemeClr val="accent3">
                            <a:lumMod val="50000"/>
                          </a:schemeClr>
                        </a:solidFill>
                        <a:latin typeface="Open Sans" panose="020B0606030504020204" pitchFamily="34" charset="0"/>
                        <a:ea typeface="Open Sans" panose="020B0606030504020204" pitchFamily="34" charset="0"/>
                        <a:cs typeface="Open Sans" panose="020B0606030504020204" pitchFamily="34" charset="0"/>
                      </a:rPr>
                      <a:t>10%</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'All UW 1,2 &amp; 3'!$D$34:$X$34</c:f>
              <c:numCache>
                <c:formatCode>General</c:formatCode>
                <c:ptCount val="21"/>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pt idx="17" formatCode="0">
                  <c:v>2017.0</c:v>
                </c:pt>
                <c:pt idx="18" formatCode="0">
                  <c:v>2018.0</c:v>
                </c:pt>
                <c:pt idx="19" formatCode="0">
                  <c:v>2019.0</c:v>
                </c:pt>
                <c:pt idx="20" formatCode="0">
                  <c:v>2020.0</c:v>
                </c:pt>
              </c:numCache>
            </c:numRef>
          </c:cat>
          <c:val>
            <c:numRef>
              <c:f>'All UW 1,2 &amp; 3'!$D$103:$X$103</c:f>
              <c:numCache>
                <c:formatCode>#,##0</c:formatCode>
                <c:ptCount val="21"/>
                <c:pt idx="0">
                  <c:v>226003.43</c:v>
                </c:pt>
                <c:pt idx="1">
                  <c:v>219994.6839925</c:v>
                </c:pt>
                <c:pt idx="2">
                  <c:v>216031.8297517583</c:v>
                </c:pt>
                <c:pt idx="3">
                  <c:v>212165.5539061563</c:v>
                </c:pt>
                <c:pt idx="4">
                  <c:v>210827.388512325</c:v>
                </c:pt>
                <c:pt idx="5">
                  <c:v>201968.44597</c:v>
                </c:pt>
                <c:pt idx="6">
                  <c:v>204143.267029533</c:v>
                </c:pt>
                <c:pt idx="7">
                  <c:v>200566.7263693506</c:v>
                </c:pt>
                <c:pt idx="8">
                  <c:v>206812.892330831</c:v>
                </c:pt>
                <c:pt idx="9">
                  <c:v>190205.4655388845</c:v>
                </c:pt>
                <c:pt idx="10">
                  <c:v>183887.4791026869</c:v>
                </c:pt>
                <c:pt idx="11">
                  <c:v>190722.0</c:v>
                </c:pt>
                <c:pt idx="12">
                  <c:v>186456.0</c:v>
                </c:pt>
                <c:pt idx="13">
                  <c:v>192256.0</c:v>
                </c:pt>
                <c:pt idx="14">
                  <c:v>185399.0</c:v>
                </c:pt>
                <c:pt idx="15">
                  <c:v>183011.0</c:v>
                </c:pt>
                <c:pt idx="16">
                  <c:v>182694.0</c:v>
                </c:pt>
                <c:pt idx="17">
                  <c:v>180426.4358149</c:v>
                </c:pt>
                <c:pt idx="18">
                  <c:v>178158.8716298</c:v>
                </c:pt>
                <c:pt idx="19">
                  <c:v>175891.3074447</c:v>
                </c:pt>
                <c:pt idx="20">
                  <c:v>171673.1790745</c:v>
                </c:pt>
              </c:numCache>
            </c:numRef>
          </c:val>
          <c:smooth val="1"/>
          <c:extLst xmlns:c16r2="http://schemas.microsoft.com/office/drawing/2015/06/chart"/>
        </c:ser>
        <c:dLbls>
          <c:showLegendKey val="0"/>
          <c:showVal val="0"/>
          <c:showCatName val="0"/>
          <c:showSerName val="0"/>
          <c:showPercent val="0"/>
          <c:showBubbleSize val="0"/>
        </c:dLbls>
        <c:marker val="1"/>
        <c:smooth val="0"/>
        <c:axId val="-438874592"/>
        <c:axId val="-438868640"/>
      </c:lineChart>
      <c:catAx>
        <c:axId val="-438874592"/>
        <c:scaling>
          <c:orientation val="minMax"/>
        </c:scaling>
        <c:delete val="0"/>
        <c:axPos val="b"/>
        <c:numFmt formatCode="General" sourceLinked="1"/>
        <c:majorTickMark val="out"/>
        <c:minorTickMark val="none"/>
        <c:tickLblPos val="nextTo"/>
        <c:spPr>
          <a:ln>
            <a:noFill/>
          </a:ln>
        </c:spPr>
        <c:txPr>
          <a:bodyPr rot="-2700000"/>
          <a:lstStyle/>
          <a:p>
            <a:pPr>
              <a:defRPr>
                <a:solidFill>
                  <a:srgbClr val="33006F"/>
                </a:solidFill>
                <a:latin typeface="Open Sans"/>
              </a:defRPr>
            </a:pPr>
            <a:endParaRPr lang="en-US"/>
          </a:p>
        </c:txPr>
        <c:crossAx val="-438868640"/>
        <c:crosses val="autoZero"/>
        <c:auto val="1"/>
        <c:lblAlgn val="ctr"/>
        <c:lblOffset val="100"/>
        <c:noMultiLvlLbl val="0"/>
      </c:catAx>
      <c:valAx>
        <c:axId val="-438868640"/>
        <c:scaling>
          <c:orientation val="minMax"/>
        </c:scaling>
        <c:delete val="0"/>
        <c:axPos val="l"/>
        <c:majorGridlines>
          <c:spPr>
            <a:ln>
              <a:solidFill>
                <a:schemeClr val="bg1">
                  <a:lumMod val="95000"/>
                </a:schemeClr>
              </a:solidFill>
            </a:ln>
          </c:spPr>
        </c:majorGridlines>
        <c:title>
          <c:tx>
            <c:rich>
              <a:bodyPr rot="-5400000" vert="horz"/>
              <a:lstStyle/>
              <a:p>
                <a:pPr>
                  <a:defRPr b="1" i="0">
                    <a:solidFill>
                      <a:srgbClr val="33006F"/>
                    </a:solidFill>
                    <a:latin typeface="Open Sans"/>
                  </a:defRPr>
                </a:pPr>
                <a:r>
                  <a:rPr lang="en-US" b="1" i="0">
                    <a:solidFill>
                      <a:srgbClr val="33006F"/>
                    </a:solidFill>
                    <a:latin typeface="Open Sans"/>
                  </a:rPr>
                  <a:t>Metric Tons</a:t>
                </a:r>
                <a:r>
                  <a:rPr lang="en-US" b="1" i="0" baseline="0">
                    <a:solidFill>
                      <a:srgbClr val="33006F"/>
                    </a:solidFill>
                    <a:latin typeface="Open Sans"/>
                  </a:rPr>
                  <a:t> </a:t>
                </a:r>
                <a:r>
                  <a:rPr lang="en-US" b="1" i="0">
                    <a:solidFill>
                      <a:srgbClr val="33006F"/>
                    </a:solidFill>
                    <a:latin typeface="Open Sans"/>
                  </a:rPr>
                  <a:t>of Greenhouses Gases </a:t>
                </a:r>
              </a:p>
              <a:p>
                <a:pPr>
                  <a:defRPr b="1" i="0">
                    <a:solidFill>
                      <a:srgbClr val="33006F"/>
                    </a:solidFill>
                    <a:latin typeface="Open Sans"/>
                  </a:defRPr>
                </a:pPr>
                <a:r>
                  <a:rPr lang="en-US" b="1" i="0">
                    <a:solidFill>
                      <a:srgbClr val="33006F"/>
                    </a:solidFill>
                    <a:latin typeface="Open Sans"/>
                  </a:rPr>
                  <a:t>(CO2 Equivalent)</a:t>
                </a:r>
              </a:p>
            </c:rich>
          </c:tx>
          <c:layout/>
          <c:overlay val="0"/>
        </c:title>
        <c:numFmt formatCode="#,##0" sourceLinked="1"/>
        <c:majorTickMark val="out"/>
        <c:minorTickMark val="none"/>
        <c:tickLblPos val="nextTo"/>
        <c:spPr>
          <a:ln>
            <a:noFill/>
          </a:ln>
        </c:spPr>
        <c:txPr>
          <a:bodyPr/>
          <a:lstStyle/>
          <a:p>
            <a:pPr>
              <a:defRPr>
                <a:solidFill>
                  <a:srgbClr val="33006F"/>
                </a:solidFill>
                <a:latin typeface="Open Sans"/>
              </a:defRPr>
            </a:pPr>
            <a:endParaRPr lang="en-US"/>
          </a:p>
        </c:txPr>
        <c:crossAx val="-438874592"/>
        <c:crosses val="autoZero"/>
        <c:crossBetween val="between"/>
      </c:valAx>
      <c:valAx>
        <c:axId val="-438860256"/>
        <c:scaling>
          <c:orientation val="minMax"/>
        </c:scaling>
        <c:delete val="1"/>
        <c:axPos val="r"/>
        <c:numFmt formatCode="#,##0" sourceLinked="1"/>
        <c:majorTickMark val="out"/>
        <c:minorTickMark val="none"/>
        <c:tickLblPos val="none"/>
        <c:crossAx val="-438856512"/>
        <c:crosses val="max"/>
        <c:crossBetween val="between"/>
      </c:valAx>
      <c:catAx>
        <c:axId val="-438856512"/>
        <c:scaling>
          <c:orientation val="minMax"/>
        </c:scaling>
        <c:delete val="1"/>
        <c:axPos val="b"/>
        <c:majorTickMark val="out"/>
        <c:minorTickMark val="none"/>
        <c:tickLblPos val="none"/>
        <c:crossAx val="-438860256"/>
        <c:crosses val="autoZero"/>
        <c:auto val="1"/>
        <c:lblAlgn val="ctr"/>
        <c:lblOffset val="100"/>
        <c:noMultiLvlLbl val="0"/>
      </c:catAx>
    </c:plotArea>
    <c:plotVisOnly val="1"/>
    <c:dispBlanksAs val="zero"/>
    <c:showDLblsOverMax val="0"/>
  </c:chart>
  <c:spPr>
    <a:ln>
      <a:noFill/>
    </a:ln>
  </c:spPr>
  <c:txPr>
    <a:bodyPr/>
    <a:lstStyle/>
    <a:p>
      <a:pPr>
        <a:defRPr>
          <a:latin typeface="Trebuchet MS" pitchFamily="34" charset="0"/>
        </a:defRPr>
      </a:pPr>
      <a:endParaRPr lang="en-US"/>
    </a:p>
  </c:txPr>
  <c:printSettings>
    <c:headerFooter/>
    <c:pageMargins b="1.0" l="0.750000000000002" r="0.750000000000002" t="1.0"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a:solidFill>
                  <a:srgbClr val="33006F"/>
                </a:solidFill>
                <a:latin typeface="Encode Sans Narrow Black"/>
              </a:defRPr>
            </a:pPr>
            <a:r>
              <a:rPr lang="en-US" sz="1800">
                <a:solidFill>
                  <a:srgbClr val="33006F"/>
                </a:solidFill>
                <a:effectLst/>
                <a:latin typeface="Encode Sans Narrow Black"/>
              </a:rPr>
              <a:t>UW GREENHOUSE GAS EMISSIONS</a:t>
            </a:r>
          </a:p>
        </c:rich>
      </c:tx>
      <c:layout>
        <c:manualLayout>
          <c:xMode val="edge"/>
          <c:yMode val="edge"/>
          <c:x val="0.257745540883261"/>
          <c:y val="0.000960495739736638"/>
        </c:manualLayout>
      </c:layout>
      <c:overlay val="1"/>
    </c:title>
    <c:autoTitleDeleted val="0"/>
    <c:plotArea>
      <c:layout>
        <c:manualLayout>
          <c:layoutTarget val="inner"/>
          <c:xMode val="edge"/>
          <c:yMode val="edge"/>
          <c:x val="0.154906057942486"/>
          <c:y val="0.0700207628213584"/>
          <c:w val="0.836662768639069"/>
          <c:h val="0.745363079615048"/>
        </c:manualLayout>
      </c:layout>
      <c:areaChart>
        <c:grouping val="stacked"/>
        <c:varyColors val="0"/>
        <c:ser>
          <c:idx val="0"/>
          <c:order val="0"/>
          <c:tx>
            <c:strRef>
              <c:f>'All UW 1,2 &amp; 3'!$B$63</c:f>
              <c:strCache>
                <c:ptCount val="1"/>
                <c:pt idx="0">
                  <c:v>Scope 1</c:v>
                </c:pt>
              </c:strCache>
            </c:strRef>
          </c:tx>
          <c:spPr>
            <a:solidFill>
              <a:srgbClr val="9B6ED1"/>
            </a:solidFill>
            <a:ln>
              <a:noFill/>
            </a:ln>
            <a:effectLst/>
          </c:spPr>
          <c:dLbls>
            <c:dLbl>
              <c:idx val="0"/>
              <c:layout>
                <c:manualLayout>
                  <c:x val="-0.227471343827746"/>
                  <c:y val="-0.00363963959217703"/>
                </c:manualLayout>
              </c:layout>
              <c:tx>
                <c:rich>
                  <a:bodyPr/>
                  <a:lstStyle/>
                  <a:p>
                    <a:r>
                      <a:rPr lang="en-US">
                        <a:solidFill>
                          <a:srgbClr val="FFFFFF"/>
                        </a:solidFill>
                      </a:rPr>
                      <a:t>Scope </a:t>
                    </a:r>
                    <a:r>
                      <a:rPr lang="en-US">
                        <a:solidFill>
                          <a:schemeClr val="bg1"/>
                        </a:solidFill>
                      </a:rPr>
                      <a:t>1</a:t>
                    </a:r>
                  </a:p>
                </c:rich>
              </c:tx>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200" b="1" i="0">
                    <a:solidFill>
                      <a:srgbClr val="33006F"/>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'All UW 1,2 &amp; 3'!$D$63:$T$63</c:f>
              <c:numCache>
                <c:formatCode>#,##0</c:formatCode>
                <c:ptCount val="17"/>
                <c:pt idx="0">
                  <c:v>117020.0</c:v>
                </c:pt>
                <c:pt idx="1">
                  <c:v>113990.6114925</c:v>
                </c:pt>
                <c:pt idx="2">
                  <c:v>112241.1104018133</c:v>
                </c:pt>
                <c:pt idx="3">
                  <c:v>110587.2088545537</c:v>
                </c:pt>
                <c:pt idx="4">
                  <c:v>110679.3098694319</c:v>
                </c:pt>
                <c:pt idx="5">
                  <c:v>104902.44597</c:v>
                </c:pt>
                <c:pt idx="6">
                  <c:v>106992.6071297534</c:v>
                </c:pt>
                <c:pt idx="7">
                  <c:v>105625.5042127749</c:v>
                </c:pt>
                <c:pt idx="8">
                  <c:v>110955.6129140663</c:v>
                </c:pt>
                <c:pt idx="9">
                  <c:v>105752.3741776134</c:v>
                </c:pt>
                <c:pt idx="10">
                  <c:v>98058.46741664392</c:v>
                </c:pt>
                <c:pt idx="11">
                  <c:v>101127.0</c:v>
                </c:pt>
                <c:pt idx="12">
                  <c:v>97521.0</c:v>
                </c:pt>
                <c:pt idx="13">
                  <c:v>103362.0</c:v>
                </c:pt>
                <c:pt idx="14">
                  <c:v>97059.0</c:v>
                </c:pt>
                <c:pt idx="15">
                  <c:v>96988.0</c:v>
                </c:pt>
                <c:pt idx="16">
                  <c:v>101432.0</c:v>
                </c:pt>
              </c:numCache>
            </c:numRef>
          </c:val>
          <c:extLst xmlns:c16r2="http://schemas.microsoft.com/office/drawing/2015/06/chart"/>
        </c:ser>
        <c:ser>
          <c:idx val="2"/>
          <c:order val="2"/>
          <c:tx>
            <c:strRef>
              <c:f>'All UW 1,2 &amp; 3'!$B$82</c:f>
              <c:strCache>
                <c:ptCount val="1"/>
                <c:pt idx="0">
                  <c:v>Scope 2</c:v>
                </c:pt>
              </c:strCache>
            </c:strRef>
          </c:tx>
          <c:spPr>
            <a:solidFill>
              <a:srgbClr val="BA9BDE"/>
            </a:solidFill>
            <a:ln>
              <a:noFill/>
            </a:ln>
            <a:effectLst/>
          </c:spPr>
          <c:dLbls>
            <c:dLbl>
              <c:idx val="0"/>
              <c:layout>
                <c:manualLayout>
                  <c:x val="-0.228076217883656"/>
                  <c:y val="-0.029387383092021"/>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200" b="1" i="0">
                    <a:solidFill>
                      <a:schemeClr val="bg1"/>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'All UW 1,2 &amp; 3'!$D$82:$T$82</c:f>
              <c:numCache>
                <c:formatCode>#,##0</c:formatCode>
                <c:ptCount val="17"/>
                <c:pt idx="0">
                  <c:v>25868.0</c:v>
                </c:pt>
                <c:pt idx="1">
                  <c:v>21373.75</c:v>
                </c:pt>
                <c:pt idx="2">
                  <c:v>18087.98846932832</c:v>
                </c:pt>
                <c:pt idx="3">
                  <c:v>15655.99453949099</c:v>
                </c:pt>
                <c:pt idx="4">
                  <c:v>13515.78620761267</c:v>
                </c:pt>
                <c:pt idx="5">
                  <c:v>7891.0</c:v>
                </c:pt>
                <c:pt idx="6">
                  <c:v>8230.703877313284</c:v>
                </c:pt>
                <c:pt idx="7">
                  <c:v>8360.012749978997</c:v>
                </c:pt>
                <c:pt idx="8">
                  <c:v>7095.16121197773</c:v>
                </c:pt>
                <c:pt idx="9">
                  <c:v>7309.523812760081</c:v>
                </c:pt>
                <c:pt idx="10">
                  <c:v>6814.77174841244</c:v>
                </c:pt>
                <c:pt idx="11">
                  <c:v>8058.0</c:v>
                </c:pt>
                <c:pt idx="12">
                  <c:v>7548.0</c:v>
                </c:pt>
                <c:pt idx="13">
                  <c:v>7497.0</c:v>
                </c:pt>
                <c:pt idx="14">
                  <c:v>8495.0</c:v>
                </c:pt>
                <c:pt idx="15">
                  <c:v>8324.0</c:v>
                </c:pt>
                <c:pt idx="16">
                  <c:v>8267.0</c:v>
                </c:pt>
              </c:numCache>
            </c:numRef>
          </c:val>
          <c:extLst xmlns:c16r2="http://schemas.microsoft.com/office/drawing/2015/06/chart"/>
        </c:ser>
        <c:ser>
          <c:idx val="1"/>
          <c:order val="3"/>
          <c:tx>
            <c:strRef>
              <c:f>'All UW 1,2 &amp; 3'!$B$101</c:f>
              <c:strCache>
                <c:ptCount val="1"/>
                <c:pt idx="0">
                  <c:v>Scope 3</c:v>
                </c:pt>
              </c:strCache>
            </c:strRef>
          </c:tx>
          <c:spPr>
            <a:solidFill>
              <a:srgbClr val="D6C0EF"/>
            </a:solidFill>
            <a:ln>
              <a:noFill/>
            </a:ln>
            <a:effectLst/>
          </c:spPr>
          <c:dLbls>
            <c:dLbl>
              <c:idx val="0"/>
              <c:layout>
                <c:manualLayout>
                  <c:x val="-0.227803567208978"/>
                  <c:y val="-0.0171684989548911"/>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a:lstStyle/>
              <a:p>
                <a:pPr>
                  <a:defRPr sz="1200" b="1" i="0">
                    <a:solidFill>
                      <a:schemeClr val="bg1"/>
                    </a:solidFill>
                    <a:latin typeface="Open Sans"/>
                  </a:defRPr>
                </a:pPr>
                <a:endParaRPr lang="en-US"/>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'All UW 1,2 &amp; 3'!$D$101:$T$101</c:f>
              <c:numCache>
                <c:formatCode>#,##0</c:formatCode>
                <c:ptCount val="17"/>
                <c:pt idx="0">
                  <c:v>83115.43</c:v>
                </c:pt>
                <c:pt idx="1">
                  <c:v>84630.3225</c:v>
                </c:pt>
                <c:pt idx="2">
                  <c:v>85702.7308806167</c:v>
                </c:pt>
                <c:pt idx="3">
                  <c:v>85922.35051211171</c:v>
                </c:pt>
                <c:pt idx="4">
                  <c:v>86632.29243528051</c:v>
                </c:pt>
                <c:pt idx="5">
                  <c:v>89175.0</c:v>
                </c:pt>
                <c:pt idx="6">
                  <c:v>88919.95602246678</c:v>
                </c:pt>
                <c:pt idx="7">
                  <c:v>86581.20940659678</c:v>
                </c:pt>
                <c:pt idx="8">
                  <c:v>88762.1182047869</c:v>
                </c:pt>
                <c:pt idx="9">
                  <c:v>77143.56754851094</c:v>
                </c:pt>
                <c:pt idx="10">
                  <c:v>79014.23993763047</c:v>
                </c:pt>
                <c:pt idx="11">
                  <c:v>81537.0</c:v>
                </c:pt>
                <c:pt idx="12">
                  <c:v>81387.0</c:v>
                </c:pt>
                <c:pt idx="13">
                  <c:v>81397.0</c:v>
                </c:pt>
                <c:pt idx="14">
                  <c:v>79845.0</c:v>
                </c:pt>
                <c:pt idx="15">
                  <c:v>77699.0</c:v>
                </c:pt>
                <c:pt idx="16">
                  <c:v>72995.0</c:v>
                </c:pt>
              </c:numCache>
            </c:numRef>
          </c:val>
          <c:extLst xmlns:c16r2="http://schemas.microsoft.com/office/drawing/2015/06/chart"/>
        </c:ser>
        <c:dLbls>
          <c:showLegendKey val="0"/>
          <c:showVal val="0"/>
          <c:showCatName val="0"/>
          <c:showSerName val="0"/>
          <c:showPercent val="0"/>
          <c:showBubbleSize val="0"/>
        </c:dLbls>
        <c:axId val="-438785264"/>
        <c:axId val="-438789008"/>
      </c:areaChart>
      <c:lineChart>
        <c:grouping val="standard"/>
        <c:varyColors val="0"/>
        <c:ser>
          <c:idx val="11"/>
          <c:order val="1"/>
          <c:spPr>
            <a:ln w="19050">
              <a:solidFill>
                <a:schemeClr val="bg1">
                  <a:lumMod val="50000"/>
                </a:schemeClr>
              </a:solidFill>
              <a:prstDash val="sysDash"/>
            </a:ln>
            <a:effectLst/>
          </c:spPr>
          <c:marker>
            <c:symbol val="none"/>
          </c:marker>
          <c:dPt>
            <c:idx val="20"/>
            <c:marker>
              <c:symbol val="circle"/>
              <c:size val="6"/>
              <c:spPr>
                <a:solidFill>
                  <a:srgbClr val="39006F"/>
                </a:solidFill>
                <a:ln>
                  <a:noFill/>
                </a:ln>
                <a:effectLst/>
              </c:spPr>
            </c:marker>
            <c:bubble3D val="0"/>
            <c:spPr>
              <a:ln w="19050">
                <a:solidFill>
                  <a:schemeClr val="bg1">
                    <a:lumMod val="50000"/>
                  </a:schemeClr>
                </a:solidFill>
                <a:prstDash val="sysDash"/>
              </a:ln>
              <a:effectLst/>
            </c:spPr>
            <c:extLst xmlns:c16r2="http://schemas.microsoft.com/office/drawing/2015/06/chart"/>
          </c:dPt>
          <c:dLbls>
            <c:dLbl>
              <c:idx val="11"/>
              <c:layout>
                <c:manualLayout>
                  <c:x val="0.131123679472035"/>
                  <c:y val="-0.00983797584439982"/>
                </c:manualLayout>
              </c:layout>
              <c:tx>
                <c:rich>
                  <a:bodyPr/>
                  <a:lstStyle/>
                  <a:p>
                    <a:r>
                      <a:rPr lang="pt-BR" b="1">
                        <a:solidFill>
                          <a:schemeClr val="accent3">
                            <a:lumMod val="50000"/>
                          </a:schemeClr>
                        </a:solidFill>
                        <a:latin typeface="Open Sans" panose="020B0606030504020204" pitchFamily="34" charset="0"/>
                        <a:ea typeface="Open Sans" panose="020B0606030504020204" pitchFamily="34" charset="0"/>
                        <a:cs typeface="Open Sans" panose="020B0606030504020204" pitchFamily="34" charset="0"/>
                      </a:rPr>
                      <a:t>9%</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'All UW 1,2 &amp; 3'!$D$34:$X$34</c:f>
              <c:numCache>
                <c:formatCode>General</c:formatCode>
                <c:ptCount val="21"/>
                <c:pt idx="0">
                  <c:v>2000.0</c:v>
                </c:pt>
                <c:pt idx="1">
                  <c:v>2001.0</c:v>
                </c:pt>
                <c:pt idx="2">
                  <c:v>2002.0</c:v>
                </c:pt>
                <c:pt idx="3">
                  <c:v>2003.0</c:v>
                </c:pt>
                <c:pt idx="4">
                  <c:v>2004.0</c:v>
                </c:pt>
                <c:pt idx="5">
                  <c:v>2005.0</c:v>
                </c:pt>
                <c:pt idx="6" formatCode="0">
                  <c:v>2006.0</c:v>
                </c:pt>
                <c:pt idx="7" formatCode="0">
                  <c:v>2007.0</c:v>
                </c:pt>
                <c:pt idx="8" formatCode="0">
                  <c:v>2008.0</c:v>
                </c:pt>
                <c:pt idx="9" formatCode="0">
                  <c:v>2009.0</c:v>
                </c:pt>
                <c:pt idx="10" formatCode="0">
                  <c:v>2010.0</c:v>
                </c:pt>
                <c:pt idx="11" formatCode="0">
                  <c:v>2011.0</c:v>
                </c:pt>
                <c:pt idx="12" formatCode="0">
                  <c:v>2012.0</c:v>
                </c:pt>
                <c:pt idx="13" formatCode="0">
                  <c:v>2013.0</c:v>
                </c:pt>
                <c:pt idx="14" formatCode="0">
                  <c:v>2014.0</c:v>
                </c:pt>
                <c:pt idx="15" formatCode="0">
                  <c:v>2015.0</c:v>
                </c:pt>
                <c:pt idx="16" formatCode="0">
                  <c:v>2016.0</c:v>
                </c:pt>
                <c:pt idx="17" formatCode="0">
                  <c:v>2017.0</c:v>
                </c:pt>
                <c:pt idx="18" formatCode="0">
                  <c:v>2018.0</c:v>
                </c:pt>
                <c:pt idx="19" formatCode="0">
                  <c:v>2019.0</c:v>
                </c:pt>
                <c:pt idx="20" formatCode="0">
                  <c:v>2020.0</c:v>
                </c:pt>
              </c:numCache>
            </c:numRef>
          </c:cat>
          <c:val>
            <c:numRef>
              <c:f>'All UW 1,2 &amp; 3'!$D$103:$X$103</c:f>
              <c:numCache>
                <c:formatCode>#,##0</c:formatCode>
                <c:ptCount val="21"/>
                <c:pt idx="0">
                  <c:v>226003.43</c:v>
                </c:pt>
                <c:pt idx="1">
                  <c:v>219994.6839925</c:v>
                </c:pt>
                <c:pt idx="2">
                  <c:v>216031.8297517583</c:v>
                </c:pt>
                <c:pt idx="3">
                  <c:v>212165.5539061563</c:v>
                </c:pt>
                <c:pt idx="4">
                  <c:v>210827.388512325</c:v>
                </c:pt>
                <c:pt idx="5">
                  <c:v>201968.44597</c:v>
                </c:pt>
                <c:pt idx="6">
                  <c:v>204143.267029533</c:v>
                </c:pt>
                <c:pt idx="7">
                  <c:v>200566.7263693506</c:v>
                </c:pt>
                <c:pt idx="8">
                  <c:v>206812.892330831</c:v>
                </c:pt>
                <c:pt idx="9">
                  <c:v>190205.4655388845</c:v>
                </c:pt>
                <c:pt idx="10">
                  <c:v>183887.4791026869</c:v>
                </c:pt>
                <c:pt idx="11">
                  <c:v>190722.0</c:v>
                </c:pt>
                <c:pt idx="12">
                  <c:v>186456.0</c:v>
                </c:pt>
                <c:pt idx="13">
                  <c:v>192256.0</c:v>
                </c:pt>
                <c:pt idx="14">
                  <c:v>185399.0</c:v>
                </c:pt>
                <c:pt idx="15">
                  <c:v>183011.0</c:v>
                </c:pt>
                <c:pt idx="16">
                  <c:v>182694.0</c:v>
                </c:pt>
                <c:pt idx="17">
                  <c:v>180426.4358149</c:v>
                </c:pt>
                <c:pt idx="18">
                  <c:v>178158.8716298</c:v>
                </c:pt>
                <c:pt idx="19">
                  <c:v>175891.3074447</c:v>
                </c:pt>
                <c:pt idx="20">
                  <c:v>171673.1790745</c:v>
                </c:pt>
              </c:numCache>
            </c:numRef>
          </c:val>
          <c:smooth val="1"/>
          <c:extLst xmlns:c16r2="http://schemas.microsoft.com/office/drawing/2015/06/chart"/>
        </c:ser>
        <c:dLbls>
          <c:showLegendKey val="0"/>
          <c:showVal val="0"/>
          <c:showCatName val="0"/>
          <c:showSerName val="0"/>
          <c:showPercent val="0"/>
          <c:showBubbleSize val="0"/>
        </c:dLbls>
        <c:marker val="1"/>
        <c:smooth val="0"/>
        <c:axId val="-438803344"/>
        <c:axId val="-438797392"/>
      </c:lineChart>
      <c:catAx>
        <c:axId val="-438803344"/>
        <c:scaling>
          <c:orientation val="minMax"/>
        </c:scaling>
        <c:delete val="0"/>
        <c:axPos val="b"/>
        <c:numFmt formatCode="General" sourceLinked="1"/>
        <c:majorTickMark val="out"/>
        <c:minorTickMark val="none"/>
        <c:tickLblPos val="nextTo"/>
        <c:spPr>
          <a:ln>
            <a:noFill/>
          </a:ln>
        </c:spPr>
        <c:txPr>
          <a:bodyPr rot="-2700000"/>
          <a:lstStyle/>
          <a:p>
            <a:pPr>
              <a:defRPr>
                <a:solidFill>
                  <a:srgbClr val="33006F"/>
                </a:solidFill>
                <a:latin typeface="Open Sans"/>
              </a:defRPr>
            </a:pPr>
            <a:endParaRPr lang="en-US"/>
          </a:p>
        </c:txPr>
        <c:crossAx val="-438797392"/>
        <c:crosses val="autoZero"/>
        <c:auto val="1"/>
        <c:lblAlgn val="ctr"/>
        <c:lblOffset val="100"/>
        <c:noMultiLvlLbl val="0"/>
      </c:catAx>
      <c:valAx>
        <c:axId val="-438797392"/>
        <c:scaling>
          <c:orientation val="minMax"/>
        </c:scaling>
        <c:delete val="0"/>
        <c:axPos val="l"/>
        <c:majorGridlines>
          <c:spPr>
            <a:ln>
              <a:solidFill>
                <a:schemeClr val="bg1">
                  <a:lumMod val="95000"/>
                </a:schemeClr>
              </a:solidFill>
            </a:ln>
          </c:spPr>
        </c:majorGridlines>
        <c:title>
          <c:tx>
            <c:rich>
              <a:bodyPr rot="-5400000" vert="horz"/>
              <a:lstStyle/>
              <a:p>
                <a:pPr>
                  <a:defRPr b="1" i="0">
                    <a:solidFill>
                      <a:srgbClr val="33006F"/>
                    </a:solidFill>
                    <a:latin typeface="Open Sans"/>
                  </a:defRPr>
                </a:pPr>
                <a:r>
                  <a:rPr lang="en-US" b="1" i="0">
                    <a:solidFill>
                      <a:srgbClr val="33006F"/>
                    </a:solidFill>
                    <a:latin typeface="Open Sans"/>
                  </a:rPr>
                  <a:t>Metric Tons</a:t>
                </a:r>
                <a:r>
                  <a:rPr lang="en-US" b="1" i="0" baseline="0">
                    <a:solidFill>
                      <a:srgbClr val="33006F"/>
                    </a:solidFill>
                    <a:latin typeface="Open Sans"/>
                  </a:rPr>
                  <a:t> </a:t>
                </a:r>
                <a:r>
                  <a:rPr lang="en-US" b="1" i="0">
                    <a:solidFill>
                      <a:srgbClr val="33006F"/>
                    </a:solidFill>
                    <a:latin typeface="Open Sans"/>
                  </a:rPr>
                  <a:t>of Greenhouses Gases </a:t>
                </a:r>
              </a:p>
              <a:p>
                <a:pPr>
                  <a:defRPr b="1" i="0">
                    <a:solidFill>
                      <a:srgbClr val="33006F"/>
                    </a:solidFill>
                    <a:latin typeface="Open Sans"/>
                  </a:defRPr>
                </a:pPr>
                <a:r>
                  <a:rPr lang="en-US" b="1" i="0">
                    <a:solidFill>
                      <a:srgbClr val="33006F"/>
                    </a:solidFill>
                    <a:latin typeface="Open Sans"/>
                  </a:rPr>
                  <a:t>(CO2 Equivalent)</a:t>
                </a:r>
              </a:p>
            </c:rich>
          </c:tx>
          <c:layout/>
          <c:overlay val="0"/>
        </c:title>
        <c:numFmt formatCode="#,##0" sourceLinked="1"/>
        <c:majorTickMark val="out"/>
        <c:minorTickMark val="none"/>
        <c:tickLblPos val="nextTo"/>
        <c:spPr>
          <a:ln>
            <a:noFill/>
          </a:ln>
        </c:spPr>
        <c:txPr>
          <a:bodyPr/>
          <a:lstStyle/>
          <a:p>
            <a:pPr>
              <a:defRPr>
                <a:solidFill>
                  <a:srgbClr val="33006F"/>
                </a:solidFill>
                <a:latin typeface="Open Sans"/>
              </a:defRPr>
            </a:pPr>
            <a:endParaRPr lang="en-US"/>
          </a:p>
        </c:txPr>
        <c:crossAx val="-438803344"/>
        <c:crosses val="autoZero"/>
        <c:crossBetween val="between"/>
      </c:valAx>
      <c:valAx>
        <c:axId val="-438789008"/>
        <c:scaling>
          <c:orientation val="minMax"/>
        </c:scaling>
        <c:delete val="1"/>
        <c:axPos val="r"/>
        <c:numFmt formatCode="#,##0" sourceLinked="1"/>
        <c:majorTickMark val="out"/>
        <c:minorTickMark val="none"/>
        <c:tickLblPos val="none"/>
        <c:crossAx val="-438785264"/>
        <c:crosses val="max"/>
        <c:crossBetween val="between"/>
      </c:valAx>
      <c:catAx>
        <c:axId val="-438785264"/>
        <c:scaling>
          <c:orientation val="minMax"/>
        </c:scaling>
        <c:delete val="1"/>
        <c:axPos val="b"/>
        <c:majorTickMark val="out"/>
        <c:minorTickMark val="none"/>
        <c:tickLblPos val="none"/>
        <c:crossAx val="-438789008"/>
        <c:crosses val="autoZero"/>
        <c:auto val="1"/>
        <c:lblAlgn val="ctr"/>
        <c:lblOffset val="100"/>
        <c:noMultiLvlLbl val="0"/>
      </c:catAx>
    </c:plotArea>
    <c:plotVisOnly val="1"/>
    <c:dispBlanksAs val="zero"/>
    <c:showDLblsOverMax val="0"/>
  </c:chart>
  <c:spPr>
    <a:ln>
      <a:noFill/>
    </a:ln>
  </c:spPr>
  <c:txPr>
    <a:bodyPr/>
    <a:lstStyle/>
    <a:p>
      <a:pPr>
        <a:defRPr>
          <a:latin typeface="Trebuchet MS" pitchFamily="34" charset="0"/>
        </a:defRPr>
      </a:pPr>
      <a:endParaRPr lang="en-US"/>
    </a:p>
  </c:txPr>
  <c:printSettings>
    <c:headerFooter/>
    <c:pageMargins b="1.0" l="0.750000000000002" r="0.750000000000002" t="1.0"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28</xdr:col>
      <xdr:colOff>439316</xdr:colOff>
      <xdr:row>2</xdr:row>
      <xdr:rowOff>139700</xdr:rowOff>
    </xdr:from>
    <xdr:to>
      <xdr:col>36</xdr:col>
      <xdr:colOff>704850</xdr:colOff>
      <xdr:row>30</xdr:row>
      <xdr:rowOff>142580</xdr:rowOff>
    </xdr:to>
    <xdr:grpSp>
      <xdr:nvGrpSpPr>
        <xdr:cNvPr id="20" name="Group 19"/>
        <xdr:cNvGrpSpPr/>
      </xdr:nvGrpSpPr>
      <xdr:grpSpPr>
        <a:xfrm>
          <a:off x="26080616" y="787400"/>
          <a:ext cx="7275934" cy="4625680"/>
          <a:chOff x="21509005" y="1001098"/>
          <a:chExt cx="5870364" cy="4152287"/>
        </a:xfrm>
      </xdr:grpSpPr>
      <xdr:graphicFrame macro="">
        <xdr:nvGraphicFramePr>
          <xdr:cNvPr id="3" name="Chart 2"/>
          <xdr:cNvGraphicFramePr/>
        </xdr:nvGraphicFramePr>
        <xdr:xfrm>
          <a:off x="21509005" y="1001098"/>
          <a:ext cx="5870364" cy="411484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Left Brace 3"/>
          <xdr:cNvSpPr/>
        </xdr:nvSpPr>
        <xdr:spPr>
          <a:xfrm rot="16200000">
            <a:off x="23181855" y="4358101"/>
            <a:ext cx="67394" cy="1204187"/>
          </a:xfrm>
          <a:prstGeom prst="leftBrace">
            <a:avLst/>
          </a:prstGeom>
          <a:noFill/>
          <a:ln w="9525">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txBody>
          <a:bodyPr vertOverflow="clip" rtlCol="0" anchor="ctr"/>
          <a:lstStyle/>
          <a:p>
            <a:pPr algn="ctr"/>
            <a:endParaRPr lang="en-US" sz="1100"/>
          </a:p>
        </xdr:txBody>
      </xdr:sp>
      <xdr:sp macro="" textlink="">
        <xdr:nvSpPr>
          <xdr:cNvPr id="5" name="TextBox 4"/>
          <xdr:cNvSpPr txBox="1"/>
        </xdr:nvSpPr>
        <xdr:spPr>
          <a:xfrm>
            <a:off x="22614354" y="4959020"/>
            <a:ext cx="1098299" cy="194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solidFill>
                  <a:schemeClr val="tx1">
                    <a:lumMod val="65000"/>
                    <a:lumOff val="35000"/>
                  </a:schemeClr>
                </a:solidFill>
                <a:latin typeface="Trebuchet MS" pitchFamily="34" charset="0"/>
              </a:rPr>
              <a:t>Interpolated Data</a:t>
            </a:r>
          </a:p>
        </xdr:txBody>
      </xdr:sp>
    </xdr:grpSp>
    <xdr:clientData/>
  </xdr:twoCellAnchor>
  <xdr:twoCellAnchor>
    <xdr:from>
      <xdr:col>19</xdr:col>
      <xdr:colOff>279816</xdr:colOff>
      <xdr:row>2</xdr:row>
      <xdr:rowOff>70338</xdr:rowOff>
    </xdr:from>
    <xdr:to>
      <xdr:col>28</xdr:col>
      <xdr:colOff>13157</xdr:colOff>
      <xdr:row>31</xdr:row>
      <xdr:rowOff>108438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1053167</xdr:colOff>
      <xdr:row>6</xdr:row>
      <xdr:rowOff>145861</xdr:rowOff>
    </xdr:from>
    <xdr:to>
      <xdr:col>3</xdr:col>
      <xdr:colOff>96315</xdr:colOff>
      <xdr:row>14</xdr:row>
      <xdr:rowOff>26577</xdr:rowOff>
    </xdr:to>
    <xdr:sp macro="" textlink="">
      <xdr:nvSpPr>
        <xdr:cNvPr id="10" name="Left Brace 9"/>
        <xdr:cNvSpPr/>
      </xdr:nvSpPr>
      <xdr:spPr>
        <a:xfrm>
          <a:off x="2015192" y="1460311"/>
          <a:ext cx="1329148" cy="1176116"/>
        </a:xfrm>
        <a:prstGeom prst="leftBrace">
          <a:avLst/>
        </a:prstGeom>
        <a:noFill/>
        <a:ln w="9525">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txBody>
        <a:bodyPr vertOverflow="clip" rtlCol="0" anchor="ctr"/>
        <a:lstStyle/>
        <a:p>
          <a:pPr algn="ctr"/>
          <a:endParaRPr lang="en-US" sz="1100"/>
        </a:p>
      </xdr:txBody>
    </xdr:sp>
    <xdr:clientData/>
  </xdr:twoCellAnchor>
  <xdr:twoCellAnchor>
    <xdr:from>
      <xdr:col>20</xdr:col>
      <xdr:colOff>714087</xdr:colOff>
      <xdr:row>30</xdr:row>
      <xdr:rowOff>33461</xdr:rowOff>
    </xdr:from>
    <xdr:to>
      <xdr:col>22</xdr:col>
      <xdr:colOff>769694</xdr:colOff>
      <xdr:row>31</xdr:row>
      <xdr:rowOff>123338</xdr:rowOff>
    </xdr:to>
    <xdr:sp macro="" textlink="">
      <xdr:nvSpPr>
        <xdr:cNvPr id="11" name="TextBox 10"/>
        <xdr:cNvSpPr txBox="1"/>
      </xdr:nvSpPr>
      <xdr:spPr>
        <a:xfrm>
          <a:off x="19383087" y="5328384"/>
          <a:ext cx="1814069" cy="25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rPr>
            <a:t>Interpolated Data</a:t>
          </a:r>
        </a:p>
      </xdr:txBody>
    </xdr:sp>
    <xdr:clientData/>
  </xdr:twoCellAnchor>
  <xdr:twoCellAnchor>
    <xdr:from>
      <xdr:col>22</xdr:col>
      <xdr:colOff>645050</xdr:colOff>
      <xdr:row>11</xdr:row>
      <xdr:rowOff>158750</xdr:rowOff>
    </xdr:from>
    <xdr:to>
      <xdr:col>23</xdr:col>
      <xdr:colOff>377867</xdr:colOff>
      <xdr:row>13</xdr:row>
      <xdr:rowOff>158750</xdr:rowOff>
    </xdr:to>
    <xdr:cxnSp macro="">
      <xdr:nvCxnSpPr>
        <xdr:cNvPr id="8" name="Straight Arrow Connector 7"/>
        <xdr:cNvCxnSpPr/>
      </xdr:nvCxnSpPr>
      <xdr:spPr>
        <a:xfrm rot="10800000" flipV="1">
          <a:off x="21028550" y="2292350"/>
          <a:ext cx="609117" cy="330200"/>
        </a:xfrm>
        <a:prstGeom prst="straightConnector1">
          <a:avLst/>
        </a:prstGeom>
        <a:ln w="9525">
          <a:solidFill>
            <a:schemeClr val="tx1">
              <a:lumMod val="75000"/>
              <a:lumOff val="25000"/>
            </a:schemeClr>
          </a:solidFill>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48568</xdr:colOff>
      <xdr:row>2</xdr:row>
      <xdr:rowOff>101601</xdr:rowOff>
    </xdr:from>
    <xdr:to>
      <xdr:col>18</xdr:col>
      <xdr:colOff>748264</xdr:colOff>
      <xdr:row>32</xdr:row>
      <xdr:rowOff>19109</xdr:rowOff>
    </xdr:to>
    <xdr:grpSp>
      <xdr:nvGrpSpPr>
        <xdr:cNvPr id="12" name="Group 11"/>
        <xdr:cNvGrpSpPr/>
      </xdr:nvGrpSpPr>
      <xdr:grpSpPr>
        <a:xfrm>
          <a:off x="9002068" y="749301"/>
          <a:ext cx="8624496" cy="4870508"/>
          <a:chOff x="6938720" y="1195116"/>
          <a:chExt cx="6806869" cy="4561407"/>
        </a:xfrm>
        <a:noFill/>
      </xdr:grpSpPr>
      <xdr:grpSp>
        <xdr:nvGrpSpPr>
          <xdr:cNvPr id="13" name="Group 12"/>
          <xdr:cNvGrpSpPr/>
        </xdr:nvGrpSpPr>
        <xdr:grpSpPr>
          <a:xfrm>
            <a:off x="6938720" y="1195116"/>
            <a:ext cx="6806869" cy="4561407"/>
            <a:chOff x="6938720" y="1195116"/>
            <a:chExt cx="6806869" cy="4561407"/>
          </a:xfrm>
          <a:grpFill/>
        </xdr:grpSpPr>
        <xdr:graphicFrame macro="">
          <xdr:nvGraphicFramePr>
            <xdr:cNvPr id="15" name="Chart 14"/>
            <xdr:cNvGraphicFramePr>
              <a:graphicFrameLocks/>
            </xdr:cNvGraphicFramePr>
          </xdr:nvGraphicFramePr>
          <xdr:xfrm>
            <a:off x="6938720" y="1195116"/>
            <a:ext cx="6806869" cy="4561407"/>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6" name="Left Brace 15"/>
            <xdr:cNvSpPr/>
          </xdr:nvSpPr>
          <xdr:spPr>
            <a:xfrm rot="16200000">
              <a:off x="8784014" y="4954653"/>
              <a:ext cx="111829" cy="1132651"/>
            </a:xfrm>
            <a:prstGeom prst="leftBrace">
              <a:avLst/>
            </a:prstGeom>
            <a:grpFill/>
            <a:ln w="9525">
              <a:solidFill>
                <a:schemeClr val="tx1">
                  <a:lumMod val="65000"/>
                  <a:lumOff val="35000"/>
                </a:schemeClr>
              </a:solidFill>
            </a:ln>
            <a:effectLst/>
          </xdr:spPr>
          <xdr:style>
            <a:lnRef idx="2">
              <a:schemeClr val="accent1"/>
            </a:lnRef>
            <a:fillRef idx="0">
              <a:schemeClr val="accent1"/>
            </a:fillRef>
            <a:effectRef idx="1">
              <a:schemeClr val="accent1"/>
            </a:effectRef>
            <a:fontRef idx="minor">
              <a:schemeClr val="tx1"/>
            </a:fontRef>
          </xdr:style>
          <xdr:txBody>
            <a:bodyPr vertOverflow="clip" rtlCol="0" anchor="ctr"/>
            <a:lstStyle/>
            <a:p>
              <a:pPr algn="ctr"/>
              <a:endParaRPr lang="en-US" sz="1100"/>
            </a:p>
          </xdr:txBody>
        </xdr:sp>
        <xdr:sp macro="" textlink="">
          <xdr:nvSpPr>
            <xdr:cNvPr id="17" name="TextBox 16"/>
            <xdr:cNvSpPr txBox="1"/>
          </xdr:nvSpPr>
          <xdr:spPr>
            <a:xfrm>
              <a:off x="8102314" y="5535745"/>
              <a:ext cx="1581150" cy="18228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90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rPr>
                <a:t>Interpolated Data</a:t>
              </a:r>
            </a:p>
          </xdr:txBody>
        </xdr:sp>
      </xdr:grpSp>
      <xdr:cxnSp macro="">
        <xdr:nvCxnSpPr>
          <xdr:cNvPr id="14" name="Straight Connector 13"/>
          <xdr:cNvCxnSpPr/>
        </xdr:nvCxnSpPr>
        <xdr:spPr>
          <a:xfrm rot="5400000">
            <a:off x="13350579" y="4522840"/>
            <a:ext cx="285753" cy="1"/>
          </a:xfrm>
          <a:prstGeom prst="line">
            <a:avLst/>
          </a:prstGeom>
          <a:grpFill/>
          <a:ln w="12700">
            <a:solidFill>
              <a:sysClr val="windowText" lastClr="000000"/>
            </a:solidFill>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114300</xdr:colOff>
      <xdr:row>5</xdr:row>
      <xdr:rowOff>13097</xdr:rowOff>
    </xdr:from>
    <xdr:to>
      <xdr:col>8</xdr:col>
      <xdr:colOff>818754</xdr:colOff>
      <xdr:row>29</xdr:row>
      <xdr:rowOff>63500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69123</xdr:colOff>
      <xdr:row>29</xdr:row>
      <xdr:rowOff>146538</xdr:rowOff>
    </xdr:from>
    <xdr:to>
      <xdr:col>22</xdr:col>
      <xdr:colOff>564422</xdr:colOff>
      <xdr:row>30</xdr:row>
      <xdr:rowOff>116986</xdr:rowOff>
    </xdr:to>
    <xdr:sp macro="" textlink="">
      <xdr:nvSpPr>
        <xdr:cNvPr id="19" name="Left Brace 18"/>
        <xdr:cNvSpPr/>
      </xdr:nvSpPr>
      <xdr:spPr>
        <a:xfrm rot="16200000">
          <a:off x="20236356" y="4656382"/>
          <a:ext cx="136525" cy="1374530"/>
        </a:xfrm>
        <a:prstGeom prst="leftBrace">
          <a:avLst>
            <a:gd name="adj1" fmla="val 8333"/>
            <a:gd name="adj2" fmla="val 50699"/>
          </a:avLst>
        </a:prstGeom>
        <a:noFill/>
        <a:ln w="9525">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114300</xdr:colOff>
      <xdr:row>5</xdr:row>
      <xdr:rowOff>38497</xdr:rowOff>
    </xdr:from>
    <xdr:to>
      <xdr:col>8</xdr:col>
      <xdr:colOff>818754</xdr:colOff>
      <xdr:row>29</xdr:row>
      <xdr:rowOff>88900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0.70499</cdr:x>
      <cdr:y>0.78576</cdr:y>
    </cdr:from>
    <cdr:to>
      <cdr:x>0.75259</cdr:x>
      <cdr:y>0.86706</cdr:y>
    </cdr:to>
    <cdr:cxnSp macro="">
      <cdr:nvCxnSpPr>
        <cdr:cNvPr id="4" name="Straight Connector 3"/>
        <cdr:cNvCxnSpPr/>
      </cdr:nvCxnSpPr>
      <cdr:spPr>
        <a:xfrm xmlns:a="http://schemas.openxmlformats.org/drawingml/2006/main" flipH="1">
          <a:off x="5129475" y="3601885"/>
          <a:ext cx="346334" cy="372677"/>
        </a:xfrm>
        <a:prstGeom xmlns:a="http://schemas.openxmlformats.org/drawingml/2006/main" prst="line">
          <a:avLst/>
        </a:prstGeom>
        <a:ln xmlns:a="http://schemas.openxmlformats.org/drawingml/2006/main" w="12700">
          <a:solidFill>
            <a:schemeClr val="accent3">
              <a:lumMod val="7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0.73641</cdr:x>
      <cdr:y>0.84459</cdr:y>
    </cdr:from>
    <cdr:to>
      <cdr:x>0.76137</cdr:x>
      <cdr:y>0.88714</cdr:y>
    </cdr:to>
    <cdr:cxnSp macro="">
      <cdr:nvCxnSpPr>
        <cdr:cNvPr id="7" name="Straight Connector 6"/>
        <cdr:cNvCxnSpPr/>
      </cdr:nvCxnSpPr>
      <cdr:spPr>
        <a:xfrm xmlns:a="http://schemas.openxmlformats.org/drawingml/2006/main" flipH="1">
          <a:off x="5358071" y="3871558"/>
          <a:ext cx="181607" cy="195047"/>
        </a:xfrm>
        <a:prstGeom xmlns:a="http://schemas.openxmlformats.org/drawingml/2006/main" prst="line">
          <a:avLst/>
        </a:prstGeom>
        <a:ln xmlns:a="http://schemas.openxmlformats.org/drawingml/2006/main" w="12700">
          <a:solidFill>
            <a:schemeClr val="accent3">
              <a:lumMod val="7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0.47327</cdr:x>
      <cdr:y>0.22644</cdr:y>
    </cdr:from>
    <cdr:to>
      <cdr:x>0.88144</cdr:x>
      <cdr:y>0.33111</cdr:y>
    </cdr:to>
    <cdr:sp macro="" textlink="">
      <cdr:nvSpPr>
        <cdr:cNvPr id="2" name="TextBox 1"/>
        <cdr:cNvSpPr txBox="1"/>
      </cdr:nvSpPr>
      <cdr:spPr>
        <a:xfrm xmlns:a="http://schemas.openxmlformats.org/drawingml/2006/main">
          <a:off x="3606312" y="1092822"/>
          <a:ext cx="3110272" cy="505138"/>
        </a:xfrm>
        <a:prstGeom xmlns:a="http://schemas.openxmlformats.org/drawingml/2006/main" prst="rect">
          <a:avLst/>
        </a:prstGeom>
        <a:noFill xmlns:a="http://schemas.openxmlformats.org/drawingml/2006/main"/>
        <a:ln xmlns:a="http://schemas.openxmlformats.org/drawingml/2006/main" w="9525" cmpd="sng">
          <a:solidFill>
            <a:schemeClr val="bg1">
              <a:lumMod val="65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000">
              <a:latin typeface="Open Sans" panose="020B0606030504020204" pitchFamily="34" charset="0"/>
              <a:ea typeface="Open Sans" panose="020B0606030504020204" pitchFamily="34" charset="0"/>
              <a:cs typeface="Open Sans" panose="020B0606030504020204" pitchFamily="34" charset="0"/>
            </a:rPr>
            <a:t>The dramatic drop is</a:t>
          </a:r>
          <a:r>
            <a:rPr lang="en-US" sz="1000" baseline="0">
              <a:latin typeface="Open Sans" panose="020B0606030504020204" pitchFamily="34" charset="0"/>
              <a:ea typeface="Open Sans" panose="020B0606030504020204" pitchFamily="34" charset="0"/>
              <a:cs typeface="Open Sans" panose="020B0606030504020204" pitchFamily="34" charset="0"/>
            </a:rPr>
            <a:t> a result of Seattle City Light becoming carbon neutral in 2005.</a:t>
          </a:r>
          <a:endParaRPr lang="en-US" sz="1000">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0.58691</cdr:x>
      <cdr:y>0.75392</cdr:y>
    </cdr:from>
    <cdr:to>
      <cdr:x>0.60899</cdr:x>
      <cdr:y>0.80154</cdr:y>
    </cdr:to>
    <cdr:cxnSp macro="">
      <cdr:nvCxnSpPr>
        <cdr:cNvPr id="4" name="Straight Connector 3"/>
        <cdr:cNvCxnSpPr/>
      </cdr:nvCxnSpPr>
      <cdr:spPr>
        <a:xfrm xmlns:a="http://schemas.openxmlformats.org/drawingml/2006/main" flipH="1">
          <a:off x="4472278" y="3638403"/>
          <a:ext cx="168251" cy="229814"/>
        </a:xfrm>
        <a:prstGeom xmlns:a="http://schemas.openxmlformats.org/drawingml/2006/main" prst="line">
          <a:avLst/>
        </a:prstGeom>
        <a:ln xmlns:a="http://schemas.openxmlformats.org/drawingml/2006/main" w="12700">
          <a:solidFill>
            <a:schemeClr val="accent3">
              <a:lumMod val="50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0.69697</cdr:x>
      <cdr:y>0.78546</cdr:y>
    </cdr:from>
    <cdr:to>
      <cdr:x>0.70863</cdr:x>
      <cdr:y>0.81065</cdr:y>
    </cdr:to>
    <cdr:cxnSp macro="">
      <cdr:nvCxnSpPr>
        <cdr:cNvPr id="6" name="Straight Connector 5"/>
        <cdr:cNvCxnSpPr/>
      </cdr:nvCxnSpPr>
      <cdr:spPr>
        <a:xfrm xmlns:a="http://schemas.openxmlformats.org/drawingml/2006/main" flipV="1">
          <a:off x="5329328" y="3812872"/>
          <a:ext cx="89157" cy="122281"/>
        </a:xfrm>
        <a:prstGeom xmlns:a="http://schemas.openxmlformats.org/drawingml/2006/main" prst="line">
          <a:avLst/>
        </a:prstGeom>
        <a:ln xmlns:a="http://schemas.openxmlformats.org/drawingml/2006/main" w="12700">
          <a:solidFill>
            <a:schemeClr val="accent3">
              <a:lumMod val="50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0.24842</cdr:x>
      <cdr:y>0.57764</cdr:y>
    </cdr:from>
    <cdr:to>
      <cdr:x>0.26508</cdr:x>
      <cdr:y>0.63432</cdr:y>
    </cdr:to>
    <cdr:cxnSp macro="">
      <cdr:nvCxnSpPr>
        <cdr:cNvPr id="5" name="Straight Arrow Connector 4"/>
        <cdr:cNvCxnSpPr/>
      </cdr:nvCxnSpPr>
      <cdr:spPr>
        <a:xfrm xmlns:a="http://schemas.openxmlformats.org/drawingml/2006/main">
          <a:off x="1899509" y="2804045"/>
          <a:ext cx="127389" cy="275144"/>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0.68022</cdr:x>
      <cdr:y>0.71849</cdr:y>
    </cdr:from>
    <cdr:to>
      <cdr:x>0.72254</cdr:x>
      <cdr:y>0.86026</cdr:y>
    </cdr:to>
    <cdr:cxnSp macro="">
      <cdr:nvCxnSpPr>
        <cdr:cNvPr id="16" name="Straight Connector 15"/>
        <cdr:cNvCxnSpPr/>
      </cdr:nvCxnSpPr>
      <cdr:spPr>
        <a:xfrm xmlns:a="http://schemas.openxmlformats.org/drawingml/2006/main" flipH="1">
          <a:off x="5866555" y="3499435"/>
          <a:ext cx="364988" cy="690444"/>
        </a:xfrm>
        <a:prstGeom xmlns:a="http://schemas.openxmlformats.org/drawingml/2006/main" prst="line">
          <a:avLst/>
        </a:prstGeom>
        <a:ln xmlns:a="http://schemas.openxmlformats.org/drawingml/2006/main" w="12700">
          <a:solidFill>
            <a:schemeClr val="bg2">
              <a:lumMod val="2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0.69963</cdr:x>
      <cdr:y>0.74779</cdr:y>
    </cdr:from>
    <cdr:to>
      <cdr:x>0.73523</cdr:x>
      <cdr:y>0.86291</cdr:y>
    </cdr:to>
    <cdr:cxnSp macro="">
      <cdr:nvCxnSpPr>
        <cdr:cNvPr id="19" name="Straight Connector 18"/>
        <cdr:cNvCxnSpPr/>
      </cdr:nvCxnSpPr>
      <cdr:spPr>
        <a:xfrm xmlns:a="http://schemas.openxmlformats.org/drawingml/2006/main" flipH="1">
          <a:off x="6033956" y="3642105"/>
          <a:ext cx="307032" cy="560692"/>
        </a:xfrm>
        <a:prstGeom xmlns:a="http://schemas.openxmlformats.org/drawingml/2006/main" prst="line">
          <a:avLst/>
        </a:prstGeom>
        <a:ln xmlns:a="http://schemas.openxmlformats.org/drawingml/2006/main" w="12700">
          <a:solidFill>
            <a:schemeClr val="bg2">
              <a:lumMod val="2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0.61856</cdr:x>
      <cdr:y>0.64454</cdr:y>
    </cdr:from>
    <cdr:to>
      <cdr:x>0.67966</cdr:x>
      <cdr:y>0.84029</cdr:y>
    </cdr:to>
    <cdr:sp macro="" textlink="">
      <cdr:nvSpPr>
        <cdr:cNvPr id="22" name="Straight Connector 21"/>
        <cdr:cNvSpPr/>
      </cdr:nvSpPr>
      <cdr:spPr>
        <a:xfrm xmlns:a="http://schemas.openxmlformats.org/drawingml/2006/main" flipV="1">
          <a:off x="5351708" y="3158134"/>
          <a:ext cx="528628" cy="959139"/>
        </a:xfrm>
        <a:prstGeom xmlns:a="http://schemas.openxmlformats.org/drawingml/2006/main" prst="line">
          <a:avLst/>
        </a:prstGeom>
        <a:ln xmlns:a="http://schemas.openxmlformats.org/drawingml/2006/main" w="12700">
          <a:solidFill>
            <a:schemeClr val="bg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0.24429</cdr:x>
      <cdr:y>0.41278</cdr:y>
    </cdr:from>
    <cdr:to>
      <cdr:x>0.44434</cdr:x>
      <cdr:y>0.71741</cdr:y>
    </cdr:to>
    <cdr:pic>
      <cdr:nvPicPr>
        <cdr:cNvPr id="10" name="Picture 9" descr="heatingBuildings-08.png"/>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624638" y="1593671"/>
          <a:ext cx="1330446" cy="1176116"/>
        </a:xfrm>
        <a:prstGeom xmlns:a="http://schemas.openxmlformats.org/drawingml/2006/main" prst="rect">
          <a:avLst/>
        </a:prstGeom>
      </cdr:spPr>
    </cdr:pic>
  </cdr:relSizeAnchor>
  <cdr:relSizeAnchor xmlns:cdr="http://schemas.openxmlformats.org/drawingml/2006/chartDrawing">
    <cdr:from>
      <cdr:x>0.60056</cdr:x>
      <cdr:y>0.60496</cdr:y>
    </cdr:from>
    <cdr:to>
      <cdr:x>0.66724</cdr:x>
      <cdr:y>0.821</cdr:y>
    </cdr:to>
    <cdr:sp macro="" textlink="">
      <cdr:nvSpPr>
        <cdr:cNvPr id="12" name="Straight Connector 11"/>
        <cdr:cNvSpPr/>
      </cdr:nvSpPr>
      <cdr:spPr>
        <a:xfrm xmlns:a="http://schemas.openxmlformats.org/drawingml/2006/main" flipV="1">
          <a:off x="5195967" y="2964181"/>
          <a:ext cx="576905" cy="1058556"/>
        </a:xfrm>
        <a:prstGeom xmlns:a="http://schemas.openxmlformats.org/drawingml/2006/main" prst="line">
          <a:avLst/>
        </a:prstGeom>
        <a:ln xmlns:a="http://schemas.openxmlformats.org/drawingml/2006/main" w="12700">
          <a:solidFill>
            <a:schemeClr val="bg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0.6791</cdr:x>
      <cdr:y>0.17419</cdr:y>
    </cdr:from>
    <cdr:to>
      <cdr:x>0.87413</cdr:x>
      <cdr:y>0.33331</cdr:y>
    </cdr:to>
    <cdr:sp macro="" textlink="">
      <cdr:nvSpPr>
        <cdr:cNvPr id="11" name="TextBox 1"/>
        <cdr:cNvSpPr txBox="1"/>
      </cdr:nvSpPr>
      <cdr:spPr>
        <a:xfrm xmlns:a="http://schemas.openxmlformats.org/drawingml/2006/main">
          <a:off x="5856932" y="820997"/>
          <a:ext cx="1681999" cy="74996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000">
              <a:latin typeface="Open Sans" panose="020B0606030504020204" pitchFamily="34" charset="0"/>
              <a:ea typeface="Open Sans" panose="020B0606030504020204" pitchFamily="34" charset="0"/>
              <a:cs typeface="Open Sans" panose="020B0606030504020204" pitchFamily="34" charset="0"/>
            </a:rPr>
            <a:t>Higher</a:t>
          </a:r>
          <a:r>
            <a:rPr lang="en-US" sz="1000" baseline="0">
              <a:latin typeface="Open Sans" panose="020B0606030504020204" pitchFamily="34" charset="0"/>
              <a:ea typeface="Open Sans" panose="020B0606030504020204" pitchFamily="34" charset="0"/>
              <a:cs typeface="Open Sans" panose="020B0606030504020204" pitchFamily="34" charset="0"/>
            </a:rPr>
            <a:t> Heating Degree Days means more GHG emissions from heating</a:t>
          </a:r>
          <a:endParaRPr lang="en-US" sz="1000">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0.73743</cdr:x>
      <cdr:y>0.29182</cdr:y>
    </cdr:from>
    <cdr:to>
      <cdr:x>0.75214</cdr:x>
      <cdr:y>0.34267</cdr:y>
    </cdr:to>
    <cdr:sp macro="" textlink="">
      <cdr:nvSpPr>
        <cdr:cNvPr id="15" name="Straight Arrow Connector 14"/>
        <cdr:cNvSpPr/>
      </cdr:nvSpPr>
      <cdr:spPr>
        <a:xfrm xmlns:a="http://schemas.openxmlformats.org/drawingml/2006/main" flipH="1">
          <a:off x="6380175" y="1429869"/>
          <a:ext cx="127269" cy="249156"/>
        </a:xfrm>
        <a:prstGeom xmlns:a="http://schemas.openxmlformats.org/drawingml/2006/main" prst="straightConnector1">
          <a:avLst/>
        </a:prstGeom>
        <a:ln xmlns:a="http://schemas.openxmlformats.org/drawingml/2006/main" w="12700">
          <a:solidFill>
            <a:schemeClr val="tx1">
              <a:lumMod val="65000"/>
              <a:lumOff val="35000"/>
            </a:schemeClr>
          </a:solidFill>
          <a:tailEnd type="arrow"/>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0.64942</cdr:x>
      <cdr:y>0.28547</cdr:y>
    </cdr:from>
    <cdr:to>
      <cdr:x>0.95225</cdr:x>
      <cdr:y>0.40173</cdr:y>
    </cdr:to>
    <cdr:sp macro="" textlink="">
      <cdr:nvSpPr>
        <cdr:cNvPr id="4" name="TextBox 3"/>
        <cdr:cNvSpPr txBox="1"/>
      </cdr:nvSpPr>
      <cdr:spPr>
        <a:xfrm xmlns:a="http://schemas.openxmlformats.org/drawingml/2006/main">
          <a:off x="5093652" y="1170120"/>
          <a:ext cx="2375266" cy="4765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2020 TARGET:</a:t>
          </a:r>
        </a:p>
        <a:p xmlns:a="http://schemas.openxmlformats.org/drawingml/2006/main">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15% reduction from 2005 levels</a:t>
          </a:r>
        </a:p>
      </cdr:txBody>
    </cdr:sp>
  </cdr:relSizeAnchor>
  <cdr:relSizeAnchor xmlns:cdr="http://schemas.openxmlformats.org/drawingml/2006/chartDrawing">
    <cdr:from>
      <cdr:x>0.8213</cdr:x>
      <cdr:y>0.05823</cdr:y>
    </cdr:from>
    <cdr:to>
      <cdr:x>0.93735</cdr:x>
      <cdr:y>0.24916</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451039" y="254186"/>
          <a:ext cx="911532" cy="833450"/>
        </a:xfrm>
        <a:prstGeom xmlns:a="http://schemas.openxmlformats.org/drawingml/2006/main" prst="rect">
          <a:avLst/>
        </a:prstGeom>
      </cdr:spPr>
    </cdr:pic>
  </cdr:relSizeAnchor>
  <cdr:relSizeAnchor xmlns:cdr="http://schemas.openxmlformats.org/drawingml/2006/chartDrawing">
    <cdr:from>
      <cdr:x>0.3684</cdr:x>
      <cdr:y>0.20293</cdr:y>
    </cdr:from>
    <cdr:to>
      <cdr:x>0.36976</cdr:x>
      <cdr:y>0.81172</cdr:y>
    </cdr:to>
    <cdr:cxnSp macro="">
      <cdr:nvCxnSpPr>
        <cdr:cNvPr id="3" name="Straight Connector 2"/>
        <cdr:cNvCxnSpPr/>
      </cdr:nvCxnSpPr>
      <cdr:spPr>
        <a:xfrm xmlns:a="http://schemas.openxmlformats.org/drawingml/2006/main" flipH="1">
          <a:off x="2568575" y="571500"/>
          <a:ext cx="9525" cy="1714500"/>
        </a:xfrm>
        <a:prstGeom xmlns:a="http://schemas.openxmlformats.org/drawingml/2006/main" prst="line">
          <a:avLst/>
        </a:prstGeom>
        <a:ln xmlns:a="http://schemas.openxmlformats.org/drawingml/2006/main">
          <a:solidFill>
            <a:srgbClr val="CACACA"/>
          </a:solidFill>
          <a:prstDash val="dash"/>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0.33288</cdr:x>
      <cdr:y>0.4938</cdr:y>
    </cdr:from>
    <cdr:to>
      <cdr:x>0.37933</cdr:x>
      <cdr:y>0.81849</cdr:y>
    </cdr:to>
    <cdr:sp macro="" textlink="">
      <cdr:nvSpPr>
        <cdr:cNvPr id="5" name="TextBox 4"/>
        <cdr:cNvSpPr txBox="1"/>
      </cdr:nvSpPr>
      <cdr:spPr>
        <a:xfrm xmlns:a="http://schemas.openxmlformats.org/drawingml/2006/main" rot="16200000">
          <a:off x="2025650" y="1685925"/>
          <a:ext cx="914400"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i="0">
              <a:solidFill>
                <a:schemeClr val="bg1"/>
              </a:solidFill>
              <a:latin typeface="Open Sans" panose="020B0606030504020204" pitchFamily="34" charset="0"/>
              <a:ea typeface="Open Sans" panose="020B0606030504020204" pitchFamily="34" charset="0"/>
              <a:cs typeface="Open Sans" panose="020B0606030504020204" pitchFamily="34" charset="0"/>
            </a:rPr>
            <a:t>Baseline Year</a:t>
          </a:r>
        </a:p>
      </cdr:txBody>
    </cdr:sp>
  </cdr:relSizeAnchor>
  <cdr:relSizeAnchor xmlns:cdr="http://schemas.openxmlformats.org/drawingml/2006/chartDrawing">
    <cdr:from>
      <cdr:x>0.64942</cdr:x>
      <cdr:y>0.28547</cdr:y>
    </cdr:from>
    <cdr:to>
      <cdr:x>0.95225</cdr:x>
      <cdr:y>0.40173</cdr:y>
    </cdr:to>
    <cdr:sp macro="" textlink="">
      <cdr:nvSpPr>
        <cdr:cNvPr id="2" name="TextBox 3"/>
        <cdr:cNvSpPr txBox="1"/>
      </cdr:nvSpPr>
      <cdr:spPr>
        <a:xfrm xmlns:a="http://schemas.openxmlformats.org/drawingml/2006/main">
          <a:off x="5093652" y="1170120"/>
          <a:ext cx="2375266" cy="4765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2020 TARGET:</a:t>
          </a:r>
        </a:p>
        <a:p xmlns:a="http://schemas.openxmlformats.org/drawingml/2006/main">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15% reduction from 2005 levels</a:t>
          </a:r>
        </a:p>
      </cdr:txBody>
    </cdr:sp>
  </cdr:relSizeAnchor>
  <cdr:relSizeAnchor xmlns:cdr="http://schemas.openxmlformats.org/drawingml/2006/chartDrawing">
    <cdr:from>
      <cdr:x>0.8213</cdr:x>
      <cdr:y>0.05823</cdr:y>
    </cdr:from>
    <cdr:to>
      <cdr:x>0.93735</cdr:x>
      <cdr:y>0.24916</cdr:y>
    </cdr:to>
    <cdr:pic>
      <cdr:nvPicPr>
        <cdr:cNvPr id="8"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451039" y="254186"/>
          <a:ext cx="911532" cy="833450"/>
        </a:xfrm>
        <a:prstGeom xmlns:a="http://schemas.openxmlformats.org/drawingml/2006/main" prst="rect">
          <a:avLst/>
        </a:prstGeom>
      </cdr:spPr>
    </cdr:pic>
  </cdr:relSizeAnchor>
  <cdr:relSizeAnchor xmlns:cdr="http://schemas.openxmlformats.org/drawingml/2006/chartDrawing">
    <cdr:from>
      <cdr:x>0.81578</cdr:x>
      <cdr:y>0.47055</cdr:y>
    </cdr:from>
    <cdr:to>
      <cdr:x>0.99532</cdr:x>
      <cdr:y>0.79229</cdr:y>
    </cdr:to>
    <cdr:sp macro="" textlink="">
      <cdr:nvSpPr>
        <cdr:cNvPr id="9" name="TextBox 6"/>
        <cdr:cNvSpPr txBox="1"/>
      </cdr:nvSpPr>
      <cdr:spPr>
        <a:xfrm xmlns:a="http://schemas.openxmlformats.org/drawingml/2006/main">
          <a:off x="7140575" y="1717615"/>
          <a:ext cx="1571548" cy="117441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900" i="0">
              <a:latin typeface="Open Sans" panose="020B0606030504020204" pitchFamily="34" charset="0"/>
              <a:ea typeface="Open Sans" panose="020B0606030504020204" pitchFamily="34" charset="0"/>
              <a:cs typeface="Open Sans" panose="020B0606030504020204" pitchFamily="34" charset="0"/>
            </a:rPr>
            <a:t>NOTE:</a:t>
          </a:r>
          <a:r>
            <a:rPr lang="en-US" sz="900" i="0" baseline="0">
              <a:latin typeface="Open Sans" panose="020B0606030504020204" pitchFamily="34" charset="0"/>
              <a:ea typeface="Open Sans" panose="020B0606030504020204" pitchFamily="34" charset="0"/>
              <a:cs typeface="Open Sans" panose="020B0606030504020204" pitchFamily="34" charset="0"/>
            </a:rPr>
            <a:t> We did not measure Greenhouse Gases in 2001-2004. In the graphs, the values for these years are interpolated from 2000 &amp; 2005 data.</a:t>
          </a:r>
          <a:endParaRPr lang="en-US" sz="900" i="0">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0.3684</cdr:x>
      <cdr:y>0.20293</cdr:y>
    </cdr:from>
    <cdr:to>
      <cdr:x>0.36976</cdr:x>
      <cdr:y>0.81172</cdr:y>
    </cdr:to>
    <cdr:cxnSp macro="">
      <cdr:nvCxnSpPr>
        <cdr:cNvPr id="10" name="Straight Connector 2"/>
        <cdr:cNvCxnSpPr/>
      </cdr:nvCxnSpPr>
      <cdr:spPr>
        <a:xfrm xmlns:a="http://schemas.openxmlformats.org/drawingml/2006/main" flipH="1">
          <a:off x="2568575" y="571500"/>
          <a:ext cx="9525" cy="1714500"/>
        </a:xfrm>
        <a:prstGeom xmlns:a="http://schemas.openxmlformats.org/drawingml/2006/main" prst="line">
          <a:avLst/>
        </a:prstGeom>
        <a:ln xmlns:a="http://schemas.openxmlformats.org/drawingml/2006/main">
          <a:solidFill>
            <a:srgbClr val="CACACA"/>
          </a:solidFill>
          <a:prstDash val="dash"/>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0.33288</cdr:x>
      <cdr:y>0.4938</cdr:y>
    </cdr:from>
    <cdr:to>
      <cdr:x>0.37933</cdr:x>
      <cdr:y>0.81849</cdr:y>
    </cdr:to>
    <cdr:sp macro="" textlink="">
      <cdr:nvSpPr>
        <cdr:cNvPr id="11" name="TextBox 4"/>
        <cdr:cNvSpPr txBox="1"/>
      </cdr:nvSpPr>
      <cdr:spPr>
        <a:xfrm xmlns:a="http://schemas.openxmlformats.org/drawingml/2006/main" rot="16200000">
          <a:off x="2025650" y="1685925"/>
          <a:ext cx="914400"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i="0">
              <a:solidFill>
                <a:schemeClr val="bg1"/>
              </a:solidFill>
              <a:latin typeface="Open Sans" panose="020B0606030504020204" pitchFamily="34" charset="0"/>
              <a:ea typeface="Open Sans" panose="020B0606030504020204" pitchFamily="34" charset="0"/>
              <a:cs typeface="Open Sans" panose="020B0606030504020204" pitchFamily="34" charset="0"/>
            </a:rPr>
            <a:t>Baseline Year</a:t>
          </a:r>
        </a:p>
      </cdr:txBody>
    </cdr:sp>
  </cdr:relSizeAnchor>
  <cdr:relSizeAnchor xmlns:cdr="http://schemas.openxmlformats.org/drawingml/2006/chartDrawing">
    <cdr:from>
      <cdr:x>0.18222</cdr:x>
      <cdr:y>0.91455</cdr:y>
    </cdr:from>
    <cdr:to>
      <cdr:x>0.32973</cdr:x>
      <cdr:y>0.94757</cdr:y>
    </cdr:to>
    <cdr:sp macro="" textlink="">
      <cdr:nvSpPr>
        <cdr:cNvPr id="12" name="Left Brace 11"/>
        <cdr:cNvSpPr/>
      </cdr:nvSpPr>
      <cdr:spPr>
        <a:xfrm xmlns:a="http://schemas.openxmlformats.org/drawingml/2006/main" rot="16200000">
          <a:off x="2181649" y="3088455"/>
          <a:ext cx="132504" cy="1295404"/>
        </a:xfrm>
        <a:prstGeom xmlns:a="http://schemas.openxmlformats.org/drawingml/2006/main" prst="leftBrace">
          <a:avLst/>
        </a:prstGeom>
        <a:noFill xmlns:a="http://schemas.openxmlformats.org/drawingml/2006/main"/>
        <a:ln xmlns:a="http://schemas.openxmlformats.org/drawingml/2006/main" w="9525">
          <a:solidFill>
            <a:schemeClr val="tx1">
              <a:lumMod val="65000"/>
              <a:lumOff val="3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0.64942</cdr:x>
      <cdr:y>0.28547</cdr:y>
    </cdr:from>
    <cdr:to>
      <cdr:x>0.95225</cdr:x>
      <cdr:y>0.40173</cdr:y>
    </cdr:to>
    <cdr:sp macro="" textlink="">
      <cdr:nvSpPr>
        <cdr:cNvPr id="4" name="TextBox 3"/>
        <cdr:cNvSpPr txBox="1"/>
      </cdr:nvSpPr>
      <cdr:spPr>
        <a:xfrm xmlns:a="http://schemas.openxmlformats.org/drawingml/2006/main">
          <a:off x="5093652" y="1170120"/>
          <a:ext cx="2375266" cy="4765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2020 TARGET:</a:t>
          </a:r>
        </a:p>
        <a:p xmlns:a="http://schemas.openxmlformats.org/drawingml/2006/main">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15% reduction from 2005 levels</a:t>
          </a:r>
        </a:p>
      </cdr:txBody>
    </cdr:sp>
  </cdr:relSizeAnchor>
  <cdr:relSizeAnchor xmlns:cdr="http://schemas.openxmlformats.org/drawingml/2006/chartDrawing">
    <cdr:from>
      <cdr:x>0.8213</cdr:x>
      <cdr:y>0.05823</cdr:y>
    </cdr:from>
    <cdr:to>
      <cdr:x>0.93735</cdr:x>
      <cdr:y>0.24916</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451039" y="254186"/>
          <a:ext cx="911532" cy="833450"/>
        </a:xfrm>
        <a:prstGeom xmlns:a="http://schemas.openxmlformats.org/drawingml/2006/main" prst="rect">
          <a:avLst/>
        </a:prstGeom>
      </cdr:spPr>
    </cdr:pic>
  </cdr:relSizeAnchor>
  <cdr:relSizeAnchor xmlns:cdr="http://schemas.openxmlformats.org/drawingml/2006/chartDrawing">
    <cdr:from>
      <cdr:x>0.3684</cdr:x>
      <cdr:y>0.20293</cdr:y>
    </cdr:from>
    <cdr:to>
      <cdr:x>0.36976</cdr:x>
      <cdr:y>0.81172</cdr:y>
    </cdr:to>
    <cdr:cxnSp macro="">
      <cdr:nvCxnSpPr>
        <cdr:cNvPr id="3" name="Straight Connector 2"/>
        <cdr:cNvCxnSpPr/>
      </cdr:nvCxnSpPr>
      <cdr:spPr>
        <a:xfrm xmlns:a="http://schemas.openxmlformats.org/drawingml/2006/main" flipH="1">
          <a:off x="2568575" y="571500"/>
          <a:ext cx="9525" cy="1714500"/>
        </a:xfrm>
        <a:prstGeom xmlns:a="http://schemas.openxmlformats.org/drawingml/2006/main" prst="line">
          <a:avLst/>
        </a:prstGeom>
        <a:ln xmlns:a="http://schemas.openxmlformats.org/drawingml/2006/main">
          <a:solidFill>
            <a:srgbClr val="CACACA"/>
          </a:solidFill>
          <a:prstDash val="dash"/>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0.33288</cdr:x>
      <cdr:y>0.4938</cdr:y>
    </cdr:from>
    <cdr:to>
      <cdr:x>0.37933</cdr:x>
      <cdr:y>0.81849</cdr:y>
    </cdr:to>
    <cdr:sp macro="" textlink="">
      <cdr:nvSpPr>
        <cdr:cNvPr id="5" name="TextBox 4"/>
        <cdr:cNvSpPr txBox="1"/>
      </cdr:nvSpPr>
      <cdr:spPr>
        <a:xfrm xmlns:a="http://schemas.openxmlformats.org/drawingml/2006/main" rot="16200000">
          <a:off x="2025650" y="1685925"/>
          <a:ext cx="914400"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i="0">
              <a:solidFill>
                <a:schemeClr val="bg1"/>
              </a:solidFill>
              <a:latin typeface="Open Sans" panose="020B0606030504020204" pitchFamily="34" charset="0"/>
              <a:ea typeface="Open Sans" panose="020B0606030504020204" pitchFamily="34" charset="0"/>
              <a:cs typeface="Open Sans" panose="020B0606030504020204" pitchFamily="34" charset="0"/>
            </a:rPr>
            <a:t>Baseline Year</a:t>
          </a:r>
        </a:p>
      </cdr:txBody>
    </cdr:sp>
  </cdr:relSizeAnchor>
  <cdr:relSizeAnchor xmlns:cdr="http://schemas.openxmlformats.org/drawingml/2006/chartDrawing">
    <cdr:from>
      <cdr:x>0.64942</cdr:x>
      <cdr:y>0.28547</cdr:y>
    </cdr:from>
    <cdr:to>
      <cdr:x>0.95225</cdr:x>
      <cdr:y>0.40173</cdr:y>
    </cdr:to>
    <cdr:sp macro="" textlink="">
      <cdr:nvSpPr>
        <cdr:cNvPr id="2" name="TextBox 3"/>
        <cdr:cNvSpPr txBox="1"/>
      </cdr:nvSpPr>
      <cdr:spPr>
        <a:xfrm xmlns:a="http://schemas.openxmlformats.org/drawingml/2006/main">
          <a:off x="5093652" y="1170120"/>
          <a:ext cx="2375266" cy="4765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2020 TARGET:</a:t>
          </a:r>
        </a:p>
        <a:p xmlns:a="http://schemas.openxmlformats.org/drawingml/2006/main">
          <a:r>
            <a:rPr lang="en-US" sz="1100" b="1">
              <a:solidFill>
                <a:srgbClr val="39006F"/>
              </a:solidFill>
              <a:latin typeface="Open Sans" panose="020B0606030504020204" pitchFamily="34" charset="0"/>
              <a:ea typeface="Open Sans" panose="020B0606030504020204" pitchFamily="34" charset="0"/>
              <a:cs typeface="Open Sans" panose="020B0606030504020204" pitchFamily="34" charset="0"/>
            </a:rPr>
            <a:t>15% reduction from 2005 levels</a:t>
          </a:r>
        </a:p>
      </cdr:txBody>
    </cdr:sp>
  </cdr:relSizeAnchor>
  <cdr:relSizeAnchor xmlns:cdr="http://schemas.openxmlformats.org/drawingml/2006/chartDrawing">
    <cdr:from>
      <cdr:x>0.8213</cdr:x>
      <cdr:y>0.05823</cdr:y>
    </cdr:from>
    <cdr:to>
      <cdr:x>0.93735</cdr:x>
      <cdr:y>0.24916</cdr:y>
    </cdr:to>
    <cdr:pic>
      <cdr:nvPicPr>
        <cdr:cNvPr id="8" name="Picture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6451039" y="254186"/>
          <a:ext cx="911532" cy="833450"/>
        </a:xfrm>
        <a:prstGeom xmlns:a="http://schemas.openxmlformats.org/drawingml/2006/main" prst="rect">
          <a:avLst/>
        </a:prstGeom>
      </cdr:spPr>
    </cdr:pic>
  </cdr:relSizeAnchor>
  <cdr:relSizeAnchor xmlns:cdr="http://schemas.openxmlformats.org/drawingml/2006/chartDrawing">
    <cdr:from>
      <cdr:x>0.81578</cdr:x>
      <cdr:y>0.47055</cdr:y>
    </cdr:from>
    <cdr:to>
      <cdr:x>0.99532</cdr:x>
      <cdr:y>0.79229</cdr:y>
    </cdr:to>
    <cdr:sp macro="" textlink="">
      <cdr:nvSpPr>
        <cdr:cNvPr id="9" name="TextBox 6"/>
        <cdr:cNvSpPr txBox="1"/>
      </cdr:nvSpPr>
      <cdr:spPr>
        <a:xfrm xmlns:a="http://schemas.openxmlformats.org/drawingml/2006/main">
          <a:off x="7140575" y="1717615"/>
          <a:ext cx="1571548" cy="1174413"/>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900" i="0">
              <a:latin typeface="Open Sans" panose="020B0606030504020204" pitchFamily="34" charset="0"/>
              <a:ea typeface="Open Sans" panose="020B0606030504020204" pitchFamily="34" charset="0"/>
              <a:cs typeface="Open Sans" panose="020B0606030504020204" pitchFamily="34" charset="0"/>
            </a:rPr>
            <a:t>NOTE:</a:t>
          </a:r>
          <a:r>
            <a:rPr lang="en-US" sz="900" i="0" baseline="0">
              <a:latin typeface="Open Sans" panose="020B0606030504020204" pitchFamily="34" charset="0"/>
              <a:ea typeface="Open Sans" panose="020B0606030504020204" pitchFamily="34" charset="0"/>
              <a:cs typeface="Open Sans" panose="020B0606030504020204" pitchFamily="34" charset="0"/>
            </a:rPr>
            <a:t> We did not measure Greenhouse Gases in 2001-2004. In the graphs, the values for these years are interpolated from 2000 &amp; 2005 data.</a:t>
          </a:r>
          <a:endParaRPr lang="en-US" sz="900" i="0">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0.3684</cdr:x>
      <cdr:y>0.20293</cdr:y>
    </cdr:from>
    <cdr:to>
      <cdr:x>0.36976</cdr:x>
      <cdr:y>0.81172</cdr:y>
    </cdr:to>
    <cdr:cxnSp macro="">
      <cdr:nvCxnSpPr>
        <cdr:cNvPr id="10" name="Straight Connector 2"/>
        <cdr:cNvCxnSpPr/>
      </cdr:nvCxnSpPr>
      <cdr:spPr>
        <a:xfrm xmlns:a="http://schemas.openxmlformats.org/drawingml/2006/main" flipH="1">
          <a:off x="2568575" y="571500"/>
          <a:ext cx="9525" cy="1714500"/>
        </a:xfrm>
        <a:prstGeom xmlns:a="http://schemas.openxmlformats.org/drawingml/2006/main" prst="line">
          <a:avLst/>
        </a:prstGeom>
        <a:ln xmlns:a="http://schemas.openxmlformats.org/drawingml/2006/main">
          <a:solidFill>
            <a:srgbClr val="CACACA"/>
          </a:solidFill>
          <a:prstDash val="dash"/>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0.33288</cdr:x>
      <cdr:y>0.4938</cdr:y>
    </cdr:from>
    <cdr:to>
      <cdr:x>0.37933</cdr:x>
      <cdr:y>0.81849</cdr:y>
    </cdr:to>
    <cdr:sp macro="" textlink="">
      <cdr:nvSpPr>
        <cdr:cNvPr id="11" name="TextBox 4"/>
        <cdr:cNvSpPr txBox="1"/>
      </cdr:nvSpPr>
      <cdr:spPr>
        <a:xfrm xmlns:a="http://schemas.openxmlformats.org/drawingml/2006/main" rot="16200000">
          <a:off x="2025650" y="1685925"/>
          <a:ext cx="914400"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i="0">
              <a:solidFill>
                <a:schemeClr val="bg1"/>
              </a:solidFill>
              <a:latin typeface="Open Sans" panose="020B0606030504020204" pitchFamily="34" charset="0"/>
              <a:ea typeface="Open Sans" panose="020B0606030504020204" pitchFamily="34" charset="0"/>
              <a:cs typeface="Open Sans" panose="020B0606030504020204" pitchFamily="34" charset="0"/>
            </a:rPr>
            <a:t>Baseline Year</a:t>
          </a:r>
        </a:p>
      </cdr:txBody>
    </cdr:sp>
  </cdr:relSizeAnchor>
  <cdr:relSizeAnchor xmlns:cdr="http://schemas.openxmlformats.org/drawingml/2006/chartDrawing">
    <cdr:from>
      <cdr:x>0.18222</cdr:x>
      <cdr:y>0.91455</cdr:y>
    </cdr:from>
    <cdr:to>
      <cdr:x>0.32973</cdr:x>
      <cdr:y>0.94757</cdr:y>
    </cdr:to>
    <cdr:sp macro="" textlink="">
      <cdr:nvSpPr>
        <cdr:cNvPr id="12" name="Left Brace 11"/>
        <cdr:cNvSpPr/>
      </cdr:nvSpPr>
      <cdr:spPr>
        <a:xfrm xmlns:a="http://schemas.openxmlformats.org/drawingml/2006/main" rot="16200000">
          <a:off x="2181649" y="3088455"/>
          <a:ext cx="132504" cy="1295404"/>
        </a:xfrm>
        <a:prstGeom xmlns:a="http://schemas.openxmlformats.org/drawingml/2006/main" prst="leftBrace">
          <a:avLst/>
        </a:prstGeom>
        <a:noFill xmlns:a="http://schemas.openxmlformats.org/drawingml/2006/main"/>
        <a:ln xmlns:a="http://schemas.openxmlformats.org/drawingml/2006/main" w="9525">
          <a:solidFill>
            <a:schemeClr val="tx1">
              <a:lumMod val="65000"/>
              <a:lumOff val="3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rtlCol="0" anchor="ct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endParaRPr lang="en-US" sz="1100"/>
        </a:p>
      </cdr:txBody>
    </cdr:sp>
  </cdr:relSizeAnchor>
  <cdr:relSizeAnchor xmlns:cdr="http://schemas.openxmlformats.org/drawingml/2006/chartDrawing">
    <cdr:from>
      <cdr:x>0.14751</cdr:x>
      <cdr:y>0.93364</cdr:y>
    </cdr:from>
    <cdr:to>
      <cdr:x>0.37564</cdr:x>
      <cdr:y>0.98214</cdr:y>
    </cdr:to>
    <cdr:sp macro="" textlink="">
      <cdr:nvSpPr>
        <cdr:cNvPr id="13" name="TextBox 12"/>
        <cdr:cNvSpPr txBox="1"/>
      </cdr:nvSpPr>
      <cdr:spPr>
        <a:xfrm xmlns:a="http://schemas.openxmlformats.org/drawingml/2006/main">
          <a:off x="1295400" y="3746500"/>
          <a:ext cx="2003362" cy="19463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rPr>
            <a:t>Interpolated Data</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4010025</xdr:colOff>
      <xdr:row>2</xdr:row>
      <xdr:rowOff>158750</xdr:rowOff>
    </xdr:to>
    <xdr:sp macro="" textlink="">
      <xdr:nvSpPr>
        <xdr:cNvPr id="2" name="TextBox 1"/>
        <xdr:cNvSpPr txBox="1"/>
      </xdr:nvSpPr>
      <xdr:spPr>
        <a:xfrm>
          <a:off x="762000" y="161925"/>
          <a:ext cx="762000" cy="320675"/>
        </a:xfrm>
        <a:prstGeom prst="rect">
          <a:avLst/>
        </a:prstGeom>
        <a:solidFill>
          <a:srgbClr val="FDF2BA"/>
        </a:solidFill>
        <a:ln/>
      </xdr:spPr>
      <xdr:style>
        <a:lnRef idx="1">
          <a:schemeClr val="accent3"/>
        </a:lnRef>
        <a:fillRef idx="2">
          <a:schemeClr val="accent3"/>
        </a:fillRef>
        <a:effectRef idx="1">
          <a:schemeClr val="accent3"/>
        </a:effectRef>
        <a:fontRef idx="minor">
          <a:schemeClr val="dk1"/>
        </a:fontRef>
      </xdr:style>
      <xdr:txBody>
        <a:bodyPr wrap="square" rtlCol="0" anchor="t"/>
        <a:lstStyle/>
        <a:p>
          <a:r>
            <a:rPr lang="en-US" sz="1200"/>
            <a:t>This data is from David Ogrodnik from Campus Engineering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groups/oess/Awards%20&amp;%20Metrics/Sustainability%20Dashboard/Sustainability%20Dashboard/GHG/05-90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arbon%20Footprint%202011%2002%2003%20emission%20factors%20used%20for%20BSC%20and%20C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
      <sheetName val="units"/>
      <sheetName val="ref"/>
      <sheetName val="ef"/>
      <sheetName val="frontmatter"/>
      <sheetName val="graphs"/>
      <sheetName val="tables"/>
      <sheetName val="Scope 1"/>
      <sheetName val="Scope 2"/>
      <sheetName val="Scope 3"/>
      <sheetName val="OI"/>
      <sheetName val="scratchp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
          <cell r="C4">
            <v>3.6640912818506139</v>
          </cell>
        </row>
      </sheetData>
      <sheetData sheetId="10">
        <row r="10">
          <cell r="D10">
            <v>0.62150403977625857</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1 2 3"/>
      <sheetName val="Scope 1 2"/>
      <sheetName val="Scope 3"/>
      <sheetName val="Rolling 12 Months"/>
      <sheetName val="Category Increases"/>
      <sheetName val="Campus Spliit"/>
      <sheetName val="Heating Mg"/>
      <sheetName val="Commuting Data"/>
      <sheetName val="Seattle Steam"/>
      <sheetName val="SCL Emission Factor"/>
      <sheetName val="Power Plant Steam"/>
      <sheetName val="CL and Other Elec"/>
      <sheetName val="NonCentral Gas"/>
      <sheetName val="HFS"/>
      <sheetName val="Hospital Laundry"/>
      <sheetName val="Landfill"/>
      <sheetName val="PSE Emission Factor"/>
      <sheetName val="Bothell"/>
      <sheetName val="Bothell CTR"/>
      <sheetName val="TPL Emission Factor"/>
      <sheetName val="Tacoma"/>
      <sheetName val="Tacoma CTR"/>
      <sheetName val="OPL Emission Factor"/>
      <sheetName val="Harborview"/>
      <sheetName val="Primate Center"/>
      <sheetName val="Seattle Vehicles"/>
      <sheetName val="Fairmont"/>
      <sheetName val="Metropolitan Tract"/>
      <sheetName val="Professional Travel"/>
      <sheetName val="Commuting Jan06 to Sep06"/>
      <sheetName val="Commuting Oct06 to Dec06"/>
      <sheetName val="Commuting Jan07 to Sep07"/>
      <sheetName val="Commuting Oct07 to Dec07"/>
      <sheetName val="Commuting Jan08 to Sep08"/>
      <sheetName val="Commuting Oct08 to Dec08"/>
      <sheetName val="Commuting Jan09 to Mar09"/>
      <sheetName val="Commuting Apr09 to Jun09"/>
      <sheetName val="Commuting Jul09 to Sep09"/>
      <sheetName val="Commuting Oct09 to Dec09"/>
      <sheetName val="Commuting Jan10 to Mar10"/>
      <sheetName val="Commuting Apr10 to Jun10"/>
      <sheetName val="Commuting Jul10 to Sep10"/>
      <sheetName val="Commuting Oct10 to Dec10"/>
      <sheetName val="Commuting ef"/>
      <sheetName val="Chart1A"/>
      <sheetName val="Chart2A"/>
      <sheetName val="Goal Table"/>
      <sheetName val="Status of Tabs"/>
    </sheetNames>
    <sheetDataSet>
      <sheetData sheetId="0"/>
      <sheetData sheetId="1"/>
      <sheetData sheetId="2"/>
      <sheetData sheetId="3"/>
      <sheetData sheetId="4"/>
      <sheetData sheetId="5"/>
      <sheetData sheetId="6"/>
      <sheetData sheetId="7"/>
      <sheetData sheetId="8"/>
      <sheetData sheetId="9"/>
      <sheetData sheetId="10">
        <row r="19">
          <cell r="B19">
            <v>9665.7965899999999</v>
          </cell>
        </row>
      </sheetData>
      <sheetData sheetId="11">
        <row r="70">
          <cell r="B70">
            <v>0</v>
          </cell>
        </row>
      </sheetData>
      <sheetData sheetId="12">
        <row r="13">
          <cell r="B13">
            <v>375.3575945</v>
          </cell>
        </row>
      </sheetData>
      <sheetData sheetId="13">
        <row r="17">
          <cell r="B17">
            <v>34.485731139999999</v>
          </cell>
        </row>
      </sheetData>
      <sheetData sheetId="14">
        <row r="20">
          <cell r="B20">
            <v>147.84326250000001</v>
          </cell>
        </row>
      </sheetData>
      <sheetData sheetId="15">
        <row r="37">
          <cell r="D37">
            <v>1005.0091493947547</v>
          </cell>
        </row>
      </sheetData>
      <sheetData sheetId="16"/>
      <sheetData sheetId="17">
        <row r="25">
          <cell r="B25">
            <v>100.77294000000001</v>
          </cell>
        </row>
      </sheetData>
      <sheetData sheetId="18">
        <row r="15">
          <cell r="B15">
            <v>169.34015279206366</v>
          </cell>
        </row>
      </sheetData>
      <sheetData sheetId="19"/>
      <sheetData sheetId="20">
        <row r="31">
          <cell r="B31">
            <v>93.120900000000006</v>
          </cell>
        </row>
      </sheetData>
      <sheetData sheetId="21">
        <row r="15">
          <cell r="B15">
            <v>169.71155489402327</v>
          </cell>
        </row>
      </sheetData>
      <sheetData sheetId="22"/>
      <sheetData sheetId="23">
        <row r="38">
          <cell r="B38">
            <v>1520.9918462999999</v>
          </cell>
        </row>
      </sheetData>
      <sheetData sheetId="24">
        <row r="20">
          <cell r="B20">
            <v>115.93932122400001</v>
          </cell>
        </row>
      </sheetData>
      <sheetData sheetId="25">
        <row r="28">
          <cell r="B28">
            <v>232.133915</v>
          </cell>
        </row>
      </sheetData>
      <sheetData sheetId="26">
        <row r="20">
          <cell r="B20">
            <v>24.538174000000001</v>
          </cell>
        </row>
      </sheetData>
      <sheetData sheetId="27">
        <row r="16">
          <cell r="B16">
            <v>47.588099999999997</v>
          </cell>
        </row>
      </sheetData>
      <sheetData sheetId="28">
        <row r="31">
          <cell r="B31">
            <v>1246.4365330001199</v>
          </cell>
        </row>
      </sheetData>
      <sheetData sheetId="29">
        <row r="81">
          <cell r="D81">
            <v>15656.295612150494</v>
          </cell>
        </row>
      </sheetData>
      <sheetData sheetId="30">
        <row r="81">
          <cell r="D81">
            <v>5968.8705907095136</v>
          </cell>
        </row>
      </sheetData>
      <sheetData sheetId="31">
        <row r="81">
          <cell r="D81">
            <v>12431.908913942922</v>
          </cell>
        </row>
      </sheetData>
      <sheetData sheetId="32">
        <row r="81">
          <cell r="D81">
            <v>5565.2963268700132</v>
          </cell>
        </row>
      </sheetData>
      <sheetData sheetId="33">
        <row r="81">
          <cell r="D81">
            <v>12589.107591245773</v>
          </cell>
        </row>
      </sheetData>
      <sheetData sheetId="34">
        <row r="81">
          <cell r="D81">
            <v>5054.4124791756485</v>
          </cell>
        </row>
      </sheetData>
      <sheetData sheetId="35">
        <row r="81">
          <cell r="D81">
            <v>4764.7635794399739</v>
          </cell>
        </row>
      </sheetData>
      <sheetData sheetId="36">
        <row r="81">
          <cell r="D81">
            <v>4557.5050348788272</v>
          </cell>
        </row>
      </sheetData>
      <sheetData sheetId="37">
        <row r="81">
          <cell r="D81">
            <v>1865.6907252947281</v>
          </cell>
        </row>
      </sheetData>
      <sheetData sheetId="38">
        <row r="81">
          <cell r="D81">
            <v>5023.2000677137039</v>
          </cell>
        </row>
      </sheetData>
      <sheetData sheetId="39">
        <row r="81">
          <cell r="D81">
            <v>4836.5582303353513</v>
          </cell>
        </row>
      </sheetData>
      <sheetData sheetId="40">
        <row r="81">
          <cell r="D81">
            <v>4658.4056253263834</v>
          </cell>
        </row>
      </sheetData>
      <sheetData sheetId="41">
        <row r="81">
          <cell r="D81">
            <v>1811.8447371231953</v>
          </cell>
        </row>
      </sheetData>
      <sheetData sheetId="42">
        <row r="81">
          <cell r="D81">
            <v>5070.6184942341306</v>
          </cell>
        </row>
      </sheetData>
      <sheetData sheetId="43">
        <row r="24">
          <cell r="C24">
            <v>2318.0967999053246</v>
          </cell>
        </row>
        <row r="25">
          <cell r="C25">
            <v>2318.0967999053246</v>
          </cell>
        </row>
        <row r="26">
          <cell r="C26">
            <v>2318.0967999053246</v>
          </cell>
        </row>
        <row r="27">
          <cell r="C27">
            <v>2318.0967999053246</v>
          </cell>
        </row>
        <row r="28">
          <cell r="C28">
            <v>2318.0967999053246</v>
          </cell>
        </row>
        <row r="29">
          <cell r="C29">
            <v>2318.0967999053246</v>
          </cell>
        </row>
        <row r="51">
          <cell r="C51">
            <v>1.6093440000000001</v>
          </cell>
        </row>
        <row r="52">
          <cell r="C52">
            <v>0.26417205199999999</v>
          </cell>
        </row>
        <row r="176">
          <cell r="C176">
            <v>120.51503323378553</v>
          </cell>
        </row>
      </sheetData>
      <sheetData sheetId="44" refreshError="1"/>
      <sheetData sheetId="45" refreshError="1"/>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1"/>
  <sheetViews>
    <sheetView tabSelected="1" workbookViewId="0">
      <selection activeCell="L45" sqref="L45"/>
    </sheetView>
  </sheetViews>
  <sheetFormatPr baseColWidth="10" defaultColWidth="11.5" defaultRowHeight="13" x14ac:dyDescent="0.15"/>
  <cols>
    <col min="1" max="1" width="14.5" customWidth="1"/>
    <col min="2" max="3" width="17.1640625" customWidth="1"/>
    <col min="4" max="5" width="11.5" customWidth="1"/>
    <col min="6" max="7" width="11.33203125" customWidth="1"/>
    <col min="8" max="12" width="11.5" customWidth="1"/>
    <col min="13" max="13" width="12" customWidth="1"/>
    <col min="14" max="16" width="11.5" customWidth="1"/>
  </cols>
  <sheetData>
    <row r="1" spans="1:34" ht="33" x14ac:dyDescent="0.35">
      <c r="A1" s="106" t="s">
        <v>48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1:34" ht="18" x14ac:dyDescent="0.2">
      <c r="A2" s="107" t="s">
        <v>40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4" spans="1:34" x14ac:dyDescent="0.15">
      <c r="A4" t="s">
        <v>39</v>
      </c>
    </row>
    <row r="30" spans="2:8" x14ac:dyDescent="0.15">
      <c r="B30" s="5"/>
      <c r="C30" s="6"/>
      <c r="D30" s="6"/>
      <c r="E30" s="6"/>
      <c r="F30" s="6"/>
      <c r="G30" s="6"/>
      <c r="H30" s="6"/>
    </row>
    <row r="33" spans="1:24" x14ac:dyDescent="0.15">
      <c r="D33" t="s">
        <v>0</v>
      </c>
      <c r="E33" s="3" t="s">
        <v>51</v>
      </c>
      <c r="F33" s="3"/>
      <c r="G33" s="3"/>
      <c r="H33" s="3"/>
    </row>
    <row r="34" spans="1:24" x14ac:dyDescent="0.15">
      <c r="A34" t="s">
        <v>1</v>
      </c>
      <c r="D34" s="1">
        <v>2000</v>
      </c>
      <c r="E34" s="4">
        <v>2001</v>
      </c>
      <c r="F34" s="4">
        <v>2002</v>
      </c>
      <c r="G34" s="4">
        <v>2003</v>
      </c>
      <c r="H34" s="4">
        <v>2004</v>
      </c>
      <c r="I34" s="1">
        <v>2005</v>
      </c>
      <c r="J34" s="2">
        <v>2006</v>
      </c>
      <c r="K34" s="2">
        <v>2007</v>
      </c>
      <c r="L34" s="2">
        <v>2008</v>
      </c>
      <c r="M34" s="2">
        <v>2009</v>
      </c>
      <c r="N34" s="2">
        <v>2010</v>
      </c>
      <c r="O34" s="2">
        <v>2011</v>
      </c>
      <c r="P34" s="2">
        <v>2012</v>
      </c>
      <c r="Q34" s="2">
        <v>2013</v>
      </c>
      <c r="R34" s="2">
        <v>2014</v>
      </c>
      <c r="S34" s="2">
        <v>2015</v>
      </c>
      <c r="T34" s="2">
        <v>2016</v>
      </c>
      <c r="U34" s="2">
        <v>2017</v>
      </c>
      <c r="V34" s="2">
        <v>2018</v>
      </c>
      <c r="W34" s="2">
        <v>2019</v>
      </c>
      <c r="X34" s="2">
        <v>2020</v>
      </c>
    </row>
    <row r="35" spans="1:24" x14ac:dyDescent="0.15">
      <c r="E35" s="3"/>
      <c r="F35" s="3"/>
      <c r="G35" s="3"/>
      <c r="H35" s="3"/>
    </row>
    <row r="36" spans="1:24" x14ac:dyDescent="0.15">
      <c r="A36" s="12" t="s">
        <v>2</v>
      </c>
      <c r="B36" s="12" t="s">
        <v>50</v>
      </c>
      <c r="C36" s="12"/>
      <c r="D36" s="11">
        <v>90528</v>
      </c>
      <c r="E36" s="13">
        <f t="shared" ref="E36:E66" si="0">D36+(I36-D36)/4</f>
        <v>88564.5</v>
      </c>
      <c r="F36" s="13">
        <f t="shared" ref="F36:F66" si="1">E36+(J36-E36)/4</f>
        <v>87749.548087223753</v>
      </c>
      <c r="G36" s="13">
        <f t="shared" ref="G36:G66" si="2">F36+(K36-F36)/4</f>
        <v>86908.014610550323</v>
      </c>
      <c r="H36" s="13">
        <f t="shared" ref="H36:H66" si="3">G36+(L36-G36)/4</f>
        <v>87751.328428441499</v>
      </c>
      <c r="I36" s="11">
        <v>82674</v>
      </c>
      <c r="J36" s="11">
        <v>85304.692348894998</v>
      </c>
      <c r="K36" s="11">
        <v>84383.414180530017</v>
      </c>
      <c r="L36" s="11">
        <v>90281.269882115012</v>
      </c>
      <c r="M36" s="11">
        <v>86176.361269999994</v>
      </c>
      <c r="N36" s="11">
        <v>79464.455381249994</v>
      </c>
      <c r="O36" s="11">
        <v>83103</v>
      </c>
      <c r="P36" s="11">
        <v>79751</v>
      </c>
      <c r="Q36" s="11">
        <v>85532</v>
      </c>
      <c r="R36" s="11">
        <v>77805</v>
      </c>
      <c r="S36" s="97">
        <v>78344</v>
      </c>
      <c r="T36" s="103">
        <v>82951</v>
      </c>
    </row>
    <row r="37" spans="1:24" x14ac:dyDescent="0.15">
      <c r="A37" s="12" t="s">
        <v>2</v>
      </c>
      <c r="B37" s="12" t="s">
        <v>49</v>
      </c>
      <c r="C37" s="12"/>
      <c r="D37" s="11">
        <v>4483</v>
      </c>
      <c r="E37" s="13">
        <f t="shared" si="0"/>
        <v>4632.1114925000002</v>
      </c>
      <c r="F37" s="13">
        <f t="shared" si="1"/>
        <v>4665.9983524377503</v>
      </c>
      <c r="G37" s="13">
        <f t="shared" si="2"/>
        <v>4667.7627118140626</v>
      </c>
      <c r="H37" s="13">
        <f t="shared" si="3"/>
        <v>4668.3760435727972</v>
      </c>
      <c r="I37" s="11">
        <v>5079.4459700000007</v>
      </c>
      <c r="J37" s="11">
        <v>4767.6589322509999</v>
      </c>
      <c r="K37" s="11">
        <v>4673.0557899429996</v>
      </c>
      <c r="L37" s="11">
        <v>4670.2160388490001</v>
      </c>
      <c r="M37" s="11">
        <v>4386.7509669999999</v>
      </c>
      <c r="N37" s="11">
        <v>4336.1043170000003</v>
      </c>
      <c r="O37" s="11">
        <v>4388</v>
      </c>
      <c r="P37" s="11">
        <v>4779</v>
      </c>
      <c r="Q37" s="11">
        <v>5212</v>
      </c>
      <c r="R37" s="11">
        <v>6905</v>
      </c>
      <c r="S37" s="97">
        <v>6965</v>
      </c>
      <c r="T37" s="103">
        <v>7273</v>
      </c>
    </row>
    <row r="38" spans="1:24" x14ac:dyDescent="0.15">
      <c r="A38" s="12" t="s">
        <v>2</v>
      </c>
      <c r="B38" s="12" t="s">
        <v>4</v>
      </c>
      <c r="C38" s="12"/>
      <c r="D38" s="11">
        <v>2157</v>
      </c>
      <c r="E38" s="13">
        <f t="shared" si="0"/>
        <v>2268.75</v>
      </c>
      <c r="F38" s="13">
        <f t="shared" si="1"/>
        <v>2314.4753443250002</v>
      </c>
      <c r="G38" s="13">
        <f t="shared" si="2"/>
        <v>2302.97786144375</v>
      </c>
      <c r="H38" s="13">
        <f t="shared" si="3"/>
        <v>2277.2909899328124</v>
      </c>
      <c r="I38" s="11">
        <v>2604</v>
      </c>
      <c r="J38" s="11">
        <v>2451.6513772999997</v>
      </c>
      <c r="K38" s="11">
        <v>2268.4854128000006</v>
      </c>
      <c r="L38" s="11">
        <v>2200.2303754000004</v>
      </c>
      <c r="M38" s="11">
        <v>2029.4915980000001</v>
      </c>
      <c r="N38" s="11">
        <v>1858.48658</v>
      </c>
      <c r="O38" s="11">
        <v>1730</v>
      </c>
      <c r="P38" s="11">
        <v>1707</v>
      </c>
      <c r="Q38" s="11">
        <v>1736</v>
      </c>
      <c r="R38" s="11">
        <v>2895</v>
      </c>
      <c r="S38" s="97">
        <v>1470</v>
      </c>
      <c r="T38" s="103">
        <v>2480</v>
      </c>
    </row>
    <row r="39" spans="1:24" x14ac:dyDescent="0.15">
      <c r="A39" s="12" t="s">
        <v>2</v>
      </c>
      <c r="B39" s="12" t="s">
        <v>5</v>
      </c>
      <c r="C39" s="12"/>
      <c r="D39" s="11">
        <v>2326</v>
      </c>
      <c r="E39" s="13">
        <f t="shared" si="0"/>
        <v>2363.3614925000002</v>
      </c>
      <c r="F39" s="13">
        <f t="shared" si="1"/>
        <v>2351.5230081127502</v>
      </c>
      <c r="G39" s="13">
        <f t="shared" si="2"/>
        <v>2364.7848503703126</v>
      </c>
      <c r="H39" s="13">
        <f t="shared" si="3"/>
        <v>2391.0850536399844</v>
      </c>
      <c r="I39" s="11">
        <v>2475.4459700000002</v>
      </c>
      <c r="J39" s="11">
        <v>2316.0075549510002</v>
      </c>
      <c r="K39" s="11">
        <v>2404.5703771429999</v>
      </c>
      <c r="L39" s="11">
        <v>2469.9856634489997</v>
      </c>
      <c r="M39" s="11">
        <v>2357.2593689999999</v>
      </c>
      <c r="N39" s="11">
        <v>2477.617737</v>
      </c>
      <c r="O39" s="11">
        <v>2658</v>
      </c>
      <c r="P39" s="11">
        <v>3072</v>
      </c>
      <c r="Q39" s="11">
        <v>3477</v>
      </c>
      <c r="R39" s="11">
        <v>4010</v>
      </c>
      <c r="S39" s="97">
        <v>5495</v>
      </c>
      <c r="T39" s="103">
        <v>4793</v>
      </c>
    </row>
    <row r="40" spans="1:24" x14ac:dyDescent="0.15">
      <c r="A40" s="12" t="s">
        <v>2</v>
      </c>
      <c r="B40" s="12" t="s">
        <v>6</v>
      </c>
      <c r="C40" s="12"/>
      <c r="D40" s="11">
        <v>182</v>
      </c>
      <c r="E40" s="13">
        <f t="shared" si="0"/>
        <v>184.6612125</v>
      </c>
      <c r="F40" s="13">
        <f t="shared" si="1"/>
        <v>183.50412211275</v>
      </c>
      <c r="G40" s="13">
        <f t="shared" si="2"/>
        <v>210.79574512031249</v>
      </c>
      <c r="H40" s="13">
        <f t="shared" si="3"/>
        <v>211.99650945248436</v>
      </c>
      <c r="I40" s="11">
        <v>192.64485000000002</v>
      </c>
      <c r="J40" s="11">
        <v>180.03285095099997</v>
      </c>
      <c r="K40" s="11">
        <v>292.67061414299997</v>
      </c>
      <c r="L40" s="11">
        <v>215.59880244900003</v>
      </c>
      <c r="M40" s="11">
        <v>138.44975099999999</v>
      </c>
      <c r="N40" s="11">
        <v>138.08928299999999</v>
      </c>
      <c r="O40" s="11">
        <v>194</v>
      </c>
      <c r="P40" s="11">
        <v>396</v>
      </c>
      <c r="Q40" s="11">
        <v>744</v>
      </c>
      <c r="R40" s="11">
        <v>1263</v>
      </c>
      <c r="S40" s="97">
        <v>1284</v>
      </c>
      <c r="T40" s="103">
        <v>1641</v>
      </c>
    </row>
    <row r="41" spans="1:24" x14ac:dyDescent="0.15">
      <c r="A41" s="12" t="s">
        <v>2</v>
      </c>
      <c r="B41" s="12" t="s">
        <v>7</v>
      </c>
      <c r="C41" s="12"/>
      <c r="D41" s="11">
        <v>1825</v>
      </c>
      <c r="E41" s="13">
        <f t="shared" si="0"/>
        <v>1855.026075</v>
      </c>
      <c r="F41" s="13">
        <f t="shared" si="1"/>
        <v>1837.6043012500002</v>
      </c>
      <c r="G41" s="13">
        <f t="shared" si="2"/>
        <v>1828.4516046875001</v>
      </c>
      <c r="H41" s="13">
        <f t="shared" si="3"/>
        <v>1854.927078515625</v>
      </c>
      <c r="I41" s="11">
        <v>1945.1043000000002</v>
      </c>
      <c r="J41" s="11">
        <v>1785.3389800000007</v>
      </c>
      <c r="K41" s="11">
        <v>1800.9935150000001</v>
      </c>
      <c r="L41" s="11">
        <v>1934.3535000000002</v>
      </c>
      <c r="M41" s="11">
        <v>1934.5168699999999</v>
      </c>
      <c r="N41" s="11">
        <v>2040.63886</v>
      </c>
      <c r="O41" s="11">
        <v>2231</v>
      </c>
      <c r="P41" s="11">
        <v>2446</v>
      </c>
      <c r="Q41" s="11">
        <v>2435</v>
      </c>
      <c r="R41" s="11">
        <v>2523</v>
      </c>
      <c r="S41" s="97">
        <v>2801</v>
      </c>
      <c r="T41" s="103">
        <v>2914</v>
      </c>
    </row>
    <row r="42" spans="1:24" x14ac:dyDescent="0.15">
      <c r="A42" s="12" t="s">
        <v>2</v>
      </c>
      <c r="B42" s="12" t="s">
        <v>8</v>
      </c>
      <c r="C42" s="12"/>
      <c r="D42" s="11">
        <v>293</v>
      </c>
      <c r="E42" s="13">
        <f t="shared" si="0"/>
        <v>297.17420500000003</v>
      </c>
      <c r="F42" s="13">
        <f t="shared" si="1"/>
        <v>303.53958475000002</v>
      </c>
      <c r="G42" s="13">
        <f t="shared" si="2"/>
        <v>298.38125056249999</v>
      </c>
      <c r="H42" s="13">
        <f t="shared" si="3"/>
        <v>296.79427817187496</v>
      </c>
      <c r="I42" s="11">
        <v>309.69682</v>
      </c>
      <c r="J42" s="11">
        <v>322.63572400000004</v>
      </c>
      <c r="K42" s="11">
        <v>282.90624800000001</v>
      </c>
      <c r="L42" s="11">
        <v>292.03336099999996</v>
      </c>
      <c r="M42" s="11">
        <v>256.29274800000002</v>
      </c>
      <c r="N42" s="11">
        <v>270.88959400000005</v>
      </c>
      <c r="O42" s="11">
        <v>204</v>
      </c>
      <c r="P42" s="11">
        <v>202</v>
      </c>
      <c r="Q42" s="11">
        <v>240</v>
      </c>
      <c r="R42" s="11">
        <v>196</v>
      </c>
      <c r="S42">
        <v>224</v>
      </c>
      <c r="T42" s="103">
        <v>210</v>
      </c>
    </row>
    <row r="43" spans="1:24" x14ac:dyDescent="0.15">
      <c r="A43" s="12" t="s">
        <v>2</v>
      </c>
      <c r="B43" s="12" t="s">
        <v>9</v>
      </c>
      <c r="C43" s="12"/>
      <c r="D43" s="11">
        <v>26</v>
      </c>
      <c r="E43" s="13">
        <f t="shared" si="0"/>
        <v>26.5</v>
      </c>
      <c r="F43" s="13">
        <f t="shared" si="1"/>
        <v>26.875</v>
      </c>
      <c r="G43" s="13">
        <f t="shared" si="2"/>
        <v>27.15625</v>
      </c>
      <c r="H43" s="13">
        <f t="shared" si="3"/>
        <v>27.3671875</v>
      </c>
      <c r="I43" s="11">
        <v>28</v>
      </c>
      <c r="J43" s="11">
        <v>27.999999999999996</v>
      </c>
      <c r="K43" s="11">
        <v>27.999999999999996</v>
      </c>
      <c r="L43" s="11">
        <v>27.999999999999996</v>
      </c>
      <c r="M43" s="11">
        <v>28</v>
      </c>
      <c r="N43" s="11">
        <v>27.999999999999996</v>
      </c>
      <c r="O43" s="11">
        <v>28</v>
      </c>
      <c r="P43" s="11">
        <v>28</v>
      </c>
      <c r="Q43" s="11">
        <v>28</v>
      </c>
      <c r="R43" s="11">
        <v>28</v>
      </c>
      <c r="S43">
        <v>28</v>
      </c>
      <c r="T43" s="103">
        <v>28</v>
      </c>
    </row>
    <row r="44" spans="1:24" x14ac:dyDescent="0.15">
      <c r="A44" s="12" t="s">
        <v>2</v>
      </c>
      <c r="B44" s="12" t="s">
        <v>10</v>
      </c>
      <c r="C44" s="12"/>
      <c r="D44" s="11">
        <v>0</v>
      </c>
      <c r="E44" s="13">
        <f t="shared" si="0"/>
        <v>0</v>
      </c>
      <c r="F44" s="13">
        <f t="shared" si="1"/>
        <v>0</v>
      </c>
      <c r="G44" s="13">
        <f t="shared" si="2"/>
        <v>0</v>
      </c>
      <c r="H44" s="13">
        <f t="shared" si="3"/>
        <v>0</v>
      </c>
      <c r="I44" s="11">
        <v>0</v>
      </c>
      <c r="J44" s="11">
        <v>0</v>
      </c>
      <c r="K44" s="11">
        <v>0</v>
      </c>
      <c r="L44" s="11">
        <v>0</v>
      </c>
      <c r="M44" s="11">
        <v>0</v>
      </c>
      <c r="N44" s="11">
        <v>0</v>
      </c>
      <c r="O44" s="11">
        <v>0</v>
      </c>
      <c r="P44" s="11">
        <v>0</v>
      </c>
      <c r="Q44" s="11">
        <v>0</v>
      </c>
      <c r="R44" s="11">
        <v>0</v>
      </c>
      <c r="S44">
        <v>0</v>
      </c>
      <c r="T44" s="103">
        <v>0</v>
      </c>
    </row>
    <row r="45" spans="1:24" x14ac:dyDescent="0.15">
      <c r="A45" s="12" t="s">
        <v>2</v>
      </c>
      <c r="B45" s="12" t="s">
        <v>11</v>
      </c>
      <c r="C45" s="12"/>
      <c r="D45" s="11">
        <v>0</v>
      </c>
      <c r="E45" s="13">
        <f t="shared" si="0"/>
        <v>0</v>
      </c>
      <c r="F45" s="13">
        <f t="shared" si="1"/>
        <v>0</v>
      </c>
      <c r="G45" s="13">
        <f t="shared" si="2"/>
        <v>0</v>
      </c>
      <c r="H45" s="13">
        <f t="shared" si="3"/>
        <v>0</v>
      </c>
      <c r="I45" s="11">
        <v>0</v>
      </c>
      <c r="J45" s="11">
        <v>0</v>
      </c>
      <c r="K45" s="11">
        <v>0</v>
      </c>
      <c r="L45" s="11">
        <v>0</v>
      </c>
      <c r="M45" s="11">
        <v>0</v>
      </c>
      <c r="N45" s="11">
        <v>0</v>
      </c>
      <c r="O45" s="11">
        <v>0</v>
      </c>
      <c r="P45" s="11">
        <v>0</v>
      </c>
      <c r="Q45" s="11">
        <v>0</v>
      </c>
      <c r="R45" s="11">
        <v>0</v>
      </c>
      <c r="S45">
        <v>0</v>
      </c>
      <c r="T45" s="103">
        <v>0</v>
      </c>
    </row>
    <row r="46" spans="1:24" x14ac:dyDescent="0.15">
      <c r="A46" s="12" t="s">
        <v>2</v>
      </c>
      <c r="B46" s="12" t="s">
        <v>12</v>
      </c>
      <c r="C46" s="12"/>
      <c r="D46" s="11">
        <v>2629</v>
      </c>
      <c r="E46" s="13">
        <f t="shared" si="0"/>
        <v>2644</v>
      </c>
      <c r="F46" s="13">
        <f t="shared" si="1"/>
        <v>2737.6460884499998</v>
      </c>
      <c r="G46" s="13">
        <f t="shared" si="2"/>
        <v>2796.7658551125</v>
      </c>
      <c r="H46" s="13">
        <f t="shared" si="3"/>
        <v>2848.9294540093751</v>
      </c>
      <c r="I46" s="11">
        <v>2689</v>
      </c>
      <c r="J46" s="11">
        <v>3018.5843537999995</v>
      </c>
      <c r="K46" s="11">
        <v>2974.1251551000005</v>
      </c>
      <c r="L46" s="11">
        <v>3005.4202507</v>
      </c>
      <c r="M46" s="11">
        <v>2828.3368810000002</v>
      </c>
      <c r="N46" s="11">
        <v>2679.3043743000003</v>
      </c>
      <c r="O46" s="11">
        <v>2716</v>
      </c>
      <c r="P46" s="11">
        <v>2631</v>
      </c>
      <c r="Q46" s="11">
        <v>2756</v>
      </c>
      <c r="R46" s="11">
        <v>2723</v>
      </c>
      <c r="S46" s="97">
        <v>2589</v>
      </c>
      <c r="T46" s="103">
        <v>2419</v>
      </c>
    </row>
    <row r="47" spans="1:24" x14ac:dyDescent="0.15">
      <c r="A47" s="12" t="s">
        <v>2</v>
      </c>
      <c r="B47" s="12" t="s">
        <v>13</v>
      </c>
      <c r="C47" s="12"/>
      <c r="D47" s="11">
        <v>16597</v>
      </c>
      <c r="E47" s="13">
        <f t="shared" si="0"/>
        <v>15635.75</v>
      </c>
      <c r="F47" s="13">
        <f t="shared" si="1"/>
        <v>14741.839948184264</v>
      </c>
      <c r="G47" s="13">
        <f t="shared" si="2"/>
        <v>13904.357007670336</v>
      </c>
      <c r="H47" s="13">
        <f t="shared" si="3"/>
        <v>13118.449983598999</v>
      </c>
      <c r="I47" s="11">
        <v>12752</v>
      </c>
      <c r="J47" s="11">
        <v>12060.109792737056</v>
      </c>
      <c r="K47" s="11">
        <v>11391.908186128552</v>
      </c>
      <c r="L47" s="11">
        <v>10760.728911384984</v>
      </c>
      <c r="M47" s="11">
        <v>10164.520710000001</v>
      </c>
      <c r="N47" s="11">
        <v>9601.3459822770983</v>
      </c>
      <c r="O47" s="11">
        <v>9069</v>
      </c>
      <c r="P47" s="11">
        <v>8567</v>
      </c>
      <c r="Q47" s="11">
        <v>8092</v>
      </c>
      <c r="R47" s="11">
        <v>7648</v>
      </c>
      <c r="S47" s="97">
        <v>7224</v>
      </c>
      <c r="T47" s="103">
        <v>6824</v>
      </c>
    </row>
    <row r="48" spans="1:24" x14ac:dyDescent="0.15">
      <c r="A48" s="12" t="s">
        <v>2</v>
      </c>
      <c r="B48" s="12" t="s">
        <v>14</v>
      </c>
      <c r="C48" s="12"/>
      <c r="D48" s="11">
        <v>1820</v>
      </c>
      <c r="E48" s="13">
        <f t="shared" si="0"/>
        <v>1399</v>
      </c>
      <c r="F48" s="13">
        <f t="shared" si="1"/>
        <v>1083.25</v>
      </c>
      <c r="G48" s="13">
        <f t="shared" si="2"/>
        <v>846.4375</v>
      </c>
      <c r="H48" s="13">
        <f t="shared" si="3"/>
        <v>668.828125</v>
      </c>
      <c r="I48" s="11">
        <v>136</v>
      </c>
      <c r="J48" s="11">
        <v>135.99999999999997</v>
      </c>
      <c r="K48" s="11">
        <v>135.99999999999997</v>
      </c>
      <c r="L48" s="11">
        <v>135.99999999999997</v>
      </c>
      <c r="M48" s="11">
        <v>136</v>
      </c>
      <c r="N48" s="11">
        <v>135.99999999999997</v>
      </c>
      <c r="O48" s="11">
        <v>136</v>
      </c>
      <c r="P48" s="11">
        <v>136</v>
      </c>
      <c r="Q48" s="11">
        <v>136</v>
      </c>
      <c r="R48" s="11">
        <v>136</v>
      </c>
      <c r="S48">
        <v>136</v>
      </c>
      <c r="T48" s="103">
        <v>136</v>
      </c>
    </row>
    <row r="49" spans="1:20" x14ac:dyDescent="0.15">
      <c r="A49" s="12" t="s">
        <v>2</v>
      </c>
      <c r="B49" s="12" t="s">
        <v>15</v>
      </c>
      <c r="C49" s="12"/>
      <c r="D49" s="11">
        <v>116057</v>
      </c>
      <c r="E49" s="13">
        <f t="shared" si="0"/>
        <v>112875.3614925</v>
      </c>
      <c r="F49" s="13">
        <f t="shared" si="1"/>
        <v>110978.28247629576</v>
      </c>
      <c r="G49" s="13">
        <f t="shared" si="2"/>
        <v>109123.33768514721</v>
      </c>
      <c r="H49" s="13">
        <f t="shared" si="3"/>
        <v>109055.91203462266</v>
      </c>
      <c r="I49" s="11">
        <v>103330.44597</v>
      </c>
      <c r="J49" s="11">
        <v>105287.04542768306</v>
      </c>
      <c r="K49" s="11">
        <v>103558.50331170157</v>
      </c>
      <c r="L49" s="11">
        <v>108853.63508304898</v>
      </c>
      <c r="M49" s="11">
        <v>103691.96980000001</v>
      </c>
      <c r="N49" s="11">
        <v>96217.210054827097</v>
      </c>
      <c r="O49" s="11">
        <v>99413</v>
      </c>
      <c r="P49" s="11">
        <v>95863</v>
      </c>
      <c r="Q49" s="11">
        <v>101729</v>
      </c>
      <c r="R49" s="11">
        <v>95217</v>
      </c>
      <c r="S49" s="97">
        <v>95258</v>
      </c>
      <c r="T49" s="103">
        <v>99603</v>
      </c>
    </row>
    <row r="50" spans="1:20" x14ac:dyDescent="0.15">
      <c r="A50" s="12"/>
      <c r="B50" s="12"/>
      <c r="C50" s="12"/>
      <c r="D50" s="11"/>
      <c r="E50" s="13">
        <f t="shared" si="0"/>
        <v>0</v>
      </c>
      <c r="F50" s="13">
        <f t="shared" si="1"/>
        <v>0</v>
      </c>
      <c r="G50" s="13">
        <f t="shared" si="2"/>
        <v>0</v>
      </c>
      <c r="H50" s="13">
        <f t="shared" si="3"/>
        <v>0</v>
      </c>
      <c r="I50" s="11"/>
      <c r="J50" s="11"/>
      <c r="K50" s="11"/>
      <c r="L50" s="11"/>
      <c r="M50" s="11"/>
      <c r="N50" s="11"/>
      <c r="O50" s="11"/>
      <c r="P50" s="11"/>
      <c r="Q50" s="11"/>
      <c r="R50" s="11"/>
    </row>
    <row r="51" spans="1:20" x14ac:dyDescent="0.15">
      <c r="A51" s="12" t="s">
        <v>16</v>
      </c>
      <c r="B51" s="12" t="s">
        <v>3</v>
      </c>
      <c r="C51" s="12"/>
      <c r="D51" s="11">
        <v>341</v>
      </c>
      <c r="E51" s="13">
        <f t="shared" si="0"/>
        <v>430.5</v>
      </c>
      <c r="F51" s="13">
        <f t="shared" si="1"/>
        <v>524.43600490000006</v>
      </c>
      <c r="G51" s="13">
        <f t="shared" si="2"/>
        <v>668.13041587500004</v>
      </c>
      <c r="H51" s="13">
        <f t="shared" si="3"/>
        <v>809.13369918124999</v>
      </c>
      <c r="I51" s="11">
        <v>699</v>
      </c>
      <c r="J51" s="11">
        <v>806.24401960000012</v>
      </c>
      <c r="K51" s="11">
        <v>1099.2136488000001</v>
      </c>
      <c r="L51" s="11">
        <v>1232.1435491</v>
      </c>
      <c r="M51" s="11">
        <v>1266.0064611</v>
      </c>
      <c r="N51" s="11">
        <v>1125.4671835580002</v>
      </c>
      <c r="O51" s="11">
        <v>1157</v>
      </c>
      <c r="P51" s="11">
        <v>1135</v>
      </c>
      <c r="Q51" s="11">
        <v>1049</v>
      </c>
      <c r="R51" s="11">
        <v>1102</v>
      </c>
      <c r="S51">
        <v>836</v>
      </c>
      <c r="T51" s="103">
        <v>934</v>
      </c>
    </row>
    <row r="52" spans="1:20" x14ac:dyDescent="0.15">
      <c r="A52" s="12" t="s">
        <v>16</v>
      </c>
      <c r="B52" s="12" t="s">
        <v>12</v>
      </c>
      <c r="C52" s="12"/>
      <c r="D52" s="11">
        <v>10</v>
      </c>
      <c r="E52" s="13">
        <f t="shared" si="0"/>
        <v>10.5</v>
      </c>
      <c r="F52" s="13">
        <f t="shared" si="1"/>
        <v>12.157628143750001</v>
      </c>
      <c r="G52" s="13">
        <f t="shared" si="2"/>
        <v>12.946397151637502</v>
      </c>
      <c r="H52" s="13">
        <f t="shared" si="3"/>
        <v>12.673552011803126</v>
      </c>
      <c r="I52" s="11">
        <v>12</v>
      </c>
      <c r="J52" s="11">
        <v>17.130512575000004</v>
      </c>
      <c r="K52" s="11">
        <v>15.3127041753</v>
      </c>
      <c r="L52" s="11">
        <v>11.8550165923</v>
      </c>
      <c r="M52" s="11">
        <v>11.8550165923</v>
      </c>
      <c r="N52" s="11">
        <v>11.8550165923</v>
      </c>
      <c r="O52" s="11">
        <v>12</v>
      </c>
      <c r="P52" s="11">
        <v>12</v>
      </c>
      <c r="Q52" s="11">
        <v>12</v>
      </c>
      <c r="R52" s="11">
        <v>6</v>
      </c>
      <c r="S52">
        <v>14</v>
      </c>
      <c r="T52" s="103">
        <v>14</v>
      </c>
    </row>
    <row r="53" spans="1:20" x14ac:dyDescent="0.15">
      <c r="A53" s="12" t="s">
        <v>16</v>
      </c>
      <c r="B53" s="12" t="s">
        <v>14</v>
      </c>
      <c r="C53" s="12"/>
      <c r="D53" s="11">
        <v>0</v>
      </c>
      <c r="E53" s="13">
        <f t="shared" si="0"/>
        <v>0</v>
      </c>
      <c r="F53" s="13">
        <f t="shared" si="1"/>
        <v>0</v>
      </c>
      <c r="G53" s="13">
        <f t="shared" si="2"/>
        <v>0</v>
      </c>
      <c r="H53" s="13">
        <f t="shared" si="3"/>
        <v>0</v>
      </c>
      <c r="I53" s="11">
        <v>0</v>
      </c>
      <c r="J53" s="11">
        <v>0</v>
      </c>
      <c r="K53" s="11">
        <v>0</v>
      </c>
      <c r="L53" s="11">
        <v>0</v>
      </c>
      <c r="M53" s="11">
        <v>0</v>
      </c>
      <c r="N53" s="11">
        <v>0</v>
      </c>
      <c r="O53" s="11">
        <v>0</v>
      </c>
      <c r="P53" s="11">
        <v>0</v>
      </c>
      <c r="Q53" s="11">
        <v>0</v>
      </c>
      <c r="R53" s="11">
        <v>0</v>
      </c>
      <c r="S53">
        <v>0</v>
      </c>
      <c r="T53" s="103">
        <v>0</v>
      </c>
    </row>
    <row r="54" spans="1:20" x14ac:dyDescent="0.15">
      <c r="A54" s="12" t="s">
        <v>16</v>
      </c>
      <c r="B54" s="12" t="s">
        <v>16</v>
      </c>
      <c r="C54" s="12" t="s">
        <v>43</v>
      </c>
      <c r="D54" s="11">
        <v>351</v>
      </c>
      <c r="E54" s="13">
        <f t="shared" si="0"/>
        <v>441</v>
      </c>
      <c r="F54" s="13">
        <f t="shared" si="1"/>
        <v>536.59363304375006</v>
      </c>
      <c r="G54" s="13">
        <f t="shared" si="2"/>
        <v>681.07681302663764</v>
      </c>
      <c r="H54" s="13">
        <f t="shared" si="3"/>
        <v>821.80725119305316</v>
      </c>
      <c r="I54" s="11">
        <v>711</v>
      </c>
      <c r="J54" s="11">
        <v>823.37453217500001</v>
      </c>
      <c r="K54" s="11">
        <v>1114.5263529753001</v>
      </c>
      <c r="L54" s="11">
        <v>1243.9985656923</v>
      </c>
      <c r="M54" s="11">
        <v>1277.8614776923</v>
      </c>
      <c r="N54" s="11">
        <v>1137.3222001503</v>
      </c>
      <c r="O54" s="11">
        <v>1169</v>
      </c>
      <c r="P54" s="11">
        <v>1147</v>
      </c>
      <c r="Q54" s="11">
        <v>1061</v>
      </c>
      <c r="R54" s="11">
        <v>1108</v>
      </c>
      <c r="S54">
        <v>850</v>
      </c>
      <c r="T54" s="103">
        <v>948</v>
      </c>
    </row>
    <row r="55" spans="1:20" x14ac:dyDescent="0.15">
      <c r="A55" s="12"/>
      <c r="B55" s="12"/>
      <c r="C55" s="12"/>
      <c r="D55" s="11"/>
      <c r="E55" s="13">
        <f t="shared" si="0"/>
        <v>0</v>
      </c>
      <c r="F55" s="13">
        <f t="shared" si="1"/>
        <v>0</v>
      </c>
      <c r="G55" s="13">
        <f t="shared" si="2"/>
        <v>0</v>
      </c>
      <c r="H55" s="13">
        <f t="shared" si="3"/>
        <v>0</v>
      </c>
      <c r="I55" s="11"/>
      <c r="J55" s="11"/>
      <c r="K55" s="11"/>
      <c r="L55" s="11"/>
      <c r="M55" s="11"/>
      <c r="N55" s="11"/>
      <c r="O55" s="11"/>
      <c r="P55" s="11"/>
      <c r="Q55" s="11"/>
      <c r="R55" s="11"/>
    </row>
    <row r="56" spans="1:20" x14ac:dyDescent="0.15">
      <c r="A56" s="12" t="s">
        <v>17</v>
      </c>
      <c r="B56" s="12" t="s">
        <v>3</v>
      </c>
      <c r="C56" s="12"/>
      <c r="D56" s="11">
        <v>258</v>
      </c>
      <c r="E56" s="13">
        <f t="shared" si="0"/>
        <v>349</v>
      </c>
      <c r="F56" s="13">
        <f t="shared" si="1"/>
        <v>433.433425</v>
      </c>
      <c r="G56" s="13">
        <f t="shared" si="2"/>
        <v>515.65671374999999</v>
      </c>
      <c r="H56" s="13">
        <f t="shared" si="3"/>
        <v>554.00171626250005</v>
      </c>
      <c r="I56" s="11">
        <v>622</v>
      </c>
      <c r="J56" s="11">
        <v>686.7337</v>
      </c>
      <c r="K56" s="11">
        <v>762.32657999999992</v>
      </c>
      <c r="L56" s="11">
        <v>669.03672380000012</v>
      </c>
      <c r="M56" s="11">
        <v>596.16347999999994</v>
      </c>
      <c r="N56" s="11">
        <v>520.46751879999999</v>
      </c>
      <c r="O56" s="11">
        <v>367</v>
      </c>
      <c r="P56" s="11">
        <v>325</v>
      </c>
      <c r="Q56" s="11">
        <v>373</v>
      </c>
      <c r="R56" s="11">
        <v>536</v>
      </c>
      <c r="S56">
        <v>695</v>
      </c>
      <c r="T56" s="103">
        <v>695</v>
      </c>
    </row>
    <row r="57" spans="1:20" x14ac:dyDescent="0.15">
      <c r="A57" s="12" t="s">
        <v>17</v>
      </c>
      <c r="B57" s="12" t="s">
        <v>12</v>
      </c>
      <c r="C57" s="12"/>
      <c r="D57" s="11">
        <v>133</v>
      </c>
      <c r="E57" s="13">
        <f t="shared" si="0"/>
        <v>115</v>
      </c>
      <c r="F57" s="13">
        <f t="shared" si="1"/>
        <v>90.613367473825008</v>
      </c>
      <c r="G57" s="13">
        <f t="shared" si="2"/>
        <v>70.997017629868765</v>
      </c>
      <c r="H57" s="13">
        <f t="shared" si="3"/>
        <v>55.98339860366157</v>
      </c>
      <c r="I57" s="11">
        <v>61</v>
      </c>
      <c r="J57" s="11">
        <v>17.453469895300003</v>
      </c>
      <c r="K57" s="11">
        <v>12.147968098000002</v>
      </c>
      <c r="L57" s="11">
        <v>10.942541525039999</v>
      </c>
      <c r="M57" s="11">
        <v>8.3793869359500004</v>
      </c>
      <c r="N57" s="11">
        <v>5.4676428665149999</v>
      </c>
      <c r="O57" s="11">
        <v>0</v>
      </c>
      <c r="P57" s="11">
        <v>8</v>
      </c>
      <c r="Q57" s="11">
        <v>22</v>
      </c>
      <c r="R57" s="11">
        <v>20</v>
      </c>
      <c r="S57">
        <v>6</v>
      </c>
      <c r="T57" s="103">
        <v>8</v>
      </c>
    </row>
    <row r="58" spans="1:20" x14ac:dyDescent="0.15">
      <c r="A58" s="12" t="s">
        <v>17</v>
      </c>
      <c r="B58" s="12" t="s">
        <v>14</v>
      </c>
      <c r="C58" s="12"/>
      <c r="D58" s="11">
        <v>0</v>
      </c>
      <c r="E58" s="13">
        <f t="shared" si="0"/>
        <v>0</v>
      </c>
      <c r="F58" s="13">
        <f t="shared" si="1"/>
        <v>0</v>
      </c>
      <c r="G58" s="13">
        <f>H4</f>
        <v>0</v>
      </c>
      <c r="H58" s="13">
        <f t="shared" si="3"/>
        <v>0</v>
      </c>
      <c r="I58" s="11">
        <v>0</v>
      </c>
      <c r="J58" s="11">
        <v>0</v>
      </c>
      <c r="K58" s="11">
        <v>0</v>
      </c>
      <c r="L58" s="11">
        <v>0</v>
      </c>
      <c r="M58" s="11">
        <v>0</v>
      </c>
      <c r="N58" s="11">
        <v>0</v>
      </c>
      <c r="O58" s="11">
        <v>0</v>
      </c>
      <c r="P58" s="11">
        <v>0</v>
      </c>
      <c r="Q58" s="11">
        <v>0</v>
      </c>
      <c r="R58" s="11">
        <v>0</v>
      </c>
      <c r="S58">
        <v>0</v>
      </c>
      <c r="T58" s="103">
        <v>0</v>
      </c>
    </row>
    <row r="59" spans="1:20" x14ac:dyDescent="0.15">
      <c r="A59" s="12" t="s">
        <v>17</v>
      </c>
      <c r="B59" s="12" t="s">
        <v>17</v>
      </c>
      <c r="C59" s="12" t="s">
        <v>43</v>
      </c>
      <c r="D59" s="11">
        <v>391</v>
      </c>
      <c r="E59" s="13">
        <f t="shared" si="0"/>
        <v>464</v>
      </c>
      <c r="F59" s="13">
        <f t="shared" si="1"/>
        <v>524.04679247382501</v>
      </c>
      <c r="G59" s="13">
        <f t="shared" si="2"/>
        <v>586.65373137986876</v>
      </c>
      <c r="H59" s="13">
        <f t="shared" si="3"/>
        <v>609.98511486616155</v>
      </c>
      <c r="I59" s="11">
        <v>683</v>
      </c>
      <c r="J59" s="11">
        <v>704.18716989530003</v>
      </c>
      <c r="K59" s="11">
        <v>774.47454809800001</v>
      </c>
      <c r="L59" s="11">
        <v>679.97926532504005</v>
      </c>
      <c r="M59" s="11">
        <v>604.54286693594997</v>
      </c>
      <c r="N59" s="11">
        <v>525.935161666515</v>
      </c>
      <c r="O59" s="11">
        <v>367</v>
      </c>
      <c r="P59" s="11">
        <v>333</v>
      </c>
      <c r="Q59" s="11">
        <v>395</v>
      </c>
      <c r="R59" s="11">
        <v>556</v>
      </c>
      <c r="S59">
        <v>702</v>
      </c>
      <c r="T59" s="103">
        <v>703</v>
      </c>
    </row>
    <row r="60" spans="1:20" x14ac:dyDescent="0.15">
      <c r="A60" s="12"/>
      <c r="B60" s="12"/>
      <c r="C60" s="12"/>
      <c r="D60" s="11"/>
      <c r="E60" s="13">
        <f t="shared" si="0"/>
        <v>0</v>
      </c>
      <c r="F60" s="13">
        <f t="shared" si="1"/>
        <v>0</v>
      </c>
      <c r="G60" s="13">
        <f t="shared" si="2"/>
        <v>0</v>
      </c>
      <c r="H60" s="13">
        <f t="shared" si="3"/>
        <v>0</v>
      </c>
      <c r="I60" s="11"/>
      <c r="J60" s="11"/>
      <c r="K60" s="11"/>
      <c r="L60" s="11"/>
      <c r="M60" s="11"/>
      <c r="N60" s="11"/>
      <c r="O60" s="11"/>
      <c r="P60" s="11"/>
      <c r="Q60" s="11"/>
      <c r="R60" s="11"/>
    </row>
    <row r="61" spans="1:20" x14ac:dyDescent="0.15">
      <c r="A61" s="12" t="s">
        <v>18</v>
      </c>
      <c r="B61" s="12"/>
      <c r="C61" s="12"/>
      <c r="D61" s="11">
        <v>221</v>
      </c>
      <c r="E61" s="13">
        <f t="shared" si="0"/>
        <v>210.25</v>
      </c>
      <c r="F61" s="13">
        <f t="shared" si="1"/>
        <v>202.1875</v>
      </c>
      <c r="G61" s="13">
        <f t="shared" si="2"/>
        <v>196.140625</v>
      </c>
      <c r="H61" s="13">
        <f t="shared" si="3"/>
        <v>191.60546875</v>
      </c>
      <c r="I61" s="11">
        <v>178</v>
      </c>
      <c r="J61" s="11">
        <v>178.00000000000003</v>
      </c>
      <c r="K61" s="11">
        <v>178.00000000000003</v>
      </c>
      <c r="L61" s="11">
        <v>178.00000000000003</v>
      </c>
      <c r="M61" s="11">
        <v>178.00000000000003</v>
      </c>
      <c r="N61" s="11">
        <v>178.00000000000003</v>
      </c>
      <c r="O61" s="11">
        <v>178</v>
      </c>
      <c r="P61" s="11">
        <v>178</v>
      </c>
      <c r="Q61" s="11">
        <v>178</v>
      </c>
      <c r="R61" s="11">
        <v>178</v>
      </c>
      <c r="S61">
        <v>178</v>
      </c>
      <c r="T61" s="103">
        <v>178</v>
      </c>
    </row>
    <row r="62" spans="1:20" x14ac:dyDescent="0.15">
      <c r="A62" s="12"/>
      <c r="B62" s="12"/>
      <c r="C62" s="12"/>
      <c r="D62" s="14"/>
      <c r="E62" s="13">
        <f t="shared" si="0"/>
        <v>0</v>
      </c>
      <c r="F62" s="13">
        <f t="shared" si="1"/>
        <v>0</v>
      </c>
      <c r="G62" s="13">
        <f t="shared" si="2"/>
        <v>0</v>
      </c>
      <c r="H62" s="13">
        <f t="shared" si="3"/>
        <v>0</v>
      </c>
      <c r="I62" s="11"/>
      <c r="J62" s="11"/>
      <c r="K62" s="11"/>
      <c r="L62" s="11"/>
      <c r="M62" s="11"/>
      <c r="N62" s="11"/>
      <c r="O62" s="11"/>
      <c r="P62" s="11"/>
      <c r="Q62" s="11"/>
      <c r="R62" s="11"/>
    </row>
    <row r="63" spans="1:20" s="102" customFormat="1" x14ac:dyDescent="0.15">
      <c r="A63" s="98" t="s">
        <v>44</v>
      </c>
      <c r="B63" s="98" t="s">
        <v>45</v>
      </c>
      <c r="C63" s="98"/>
      <c r="D63" s="99">
        <v>117020</v>
      </c>
      <c r="E63" s="100">
        <f t="shared" si="0"/>
        <v>113990.6114925</v>
      </c>
      <c r="F63" s="100">
        <f t="shared" si="1"/>
        <v>112241.11040181335</v>
      </c>
      <c r="G63" s="100">
        <f t="shared" si="2"/>
        <v>110587.20885455373</v>
      </c>
      <c r="H63" s="100">
        <f t="shared" si="3"/>
        <v>110679.30986943188</v>
      </c>
      <c r="I63" s="99">
        <v>104902.44597</v>
      </c>
      <c r="J63" s="99">
        <v>106992.60712975336</v>
      </c>
      <c r="K63" s="99">
        <v>105625.50421277487</v>
      </c>
      <c r="L63" s="99">
        <v>110955.61291406633</v>
      </c>
      <c r="M63" s="99">
        <v>105752.3741776134</v>
      </c>
      <c r="N63" s="99">
        <v>98058.467416643922</v>
      </c>
      <c r="O63" s="99">
        <v>101127</v>
      </c>
      <c r="P63" s="99">
        <v>97521</v>
      </c>
      <c r="Q63" s="99">
        <v>103362</v>
      </c>
      <c r="R63" s="99">
        <v>97059</v>
      </c>
      <c r="S63" s="101">
        <v>96988</v>
      </c>
      <c r="T63" s="103">
        <v>101432</v>
      </c>
    </row>
    <row r="64" spans="1:20" x14ac:dyDescent="0.15">
      <c r="A64" s="12"/>
      <c r="B64" s="12"/>
      <c r="C64" s="12"/>
      <c r="D64" s="14"/>
      <c r="E64" s="13">
        <f t="shared" si="0"/>
        <v>0</v>
      </c>
      <c r="F64" s="13">
        <f t="shared" si="1"/>
        <v>0</v>
      </c>
      <c r="G64" s="13">
        <f t="shared" si="2"/>
        <v>0</v>
      </c>
      <c r="H64" s="13">
        <f t="shared" si="3"/>
        <v>0</v>
      </c>
      <c r="I64" s="11"/>
      <c r="J64" s="11"/>
      <c r="K64" s="11"/>
      <c r="L64" s="11"/>
      <c r="M64" s="11"/>
      <c r="N64" s="11"/>
      <c r="O64" s="11"/>
      <c r="P64" s="11"/>
      <c r="Q64" s="11"/>
      <c r="R64" s="11"/>
    </row>
    <row r="65" spans="1:20" x14ac:dyDescent="0.15">
      <c r="A65" s="12" t="s">
        <v>19</v>
      </c>
      <c r="B65" s="12"/>
      <c r="C65" s="12"/>
      <c r="D65" s="14"/>
      <c r="E65" s="13">
        <f t="shared" si="0"/>
        <v>0</v>
      </c>
      <c r="F65" s="13">
        <f t="shared" si="1"/>
        <v>0</v>
      </c>
      <c r="G65" s="13">
        <f t="shared" si="2"/>
        <v>0</v>
      </c>
      <c r="H65" s="13">
        <f t="shared" si="3"/>
        <v>0</v>
      </c>
      <c r="I65" s="11"/>
      <c r="J65" s="11"/>
      <c r="K65" s="11"/>
      <c r="L65" s="11"/>
      <c r="M65" s="11"/>
      <c r="N65" s="11"/>
      <c r="O65" s="11"/>
      <c r="P65" s="11"/>
      <c r="Q65" s="11"/>
      <c r="R65" s="11"/>
    </row>
    <row r="66" spans="1:20" x14ac:dyDescent="0.15">
      <c r="A66" s="12"/>
      <c r="B66" s="12"/>
      <c r="C66" s="12"/>
      <c r="D66" s="14"/>
      <c r="E66" s="13">
        <f t="shared" si="0"/>
        <v>0</v>
      </c>
      <c r="F66" s="13">
        <f t="shared" si="1"/>
        <v>0</v>
      </c>
      <c r="G66" s="13">
        <f t="shared" si="2"/>
        <v>0</v>
      </c>
      <c r="H66" s="13">
        <f t="shared" si="3"/>
        <v>0</v>
      </c>
      <c r="I66" s="11"/>
      <c r="J66" s="11"/>
      <c r="K66" s="11"/>
      <c r="L66" s="11"/>
      <c r="M66" s="11"/>
      <c r="N66" s="11"/>
      <c r="O66" s="11"/>
      <c r="P66" s="11"/>
      <c r="Q66" s="11"/>
      <c r="R66" s="11"/>
    </row>
    <row r="67" spans="1:20" x14ac:dyDescent="0.15">
      <c r="A67" s="12" t="s">
        <v>2</v>
      </c>
      <c r="B67" s="12" t="s">
        <v>20</v>
      </c>
      <c r="C67" s="12"/>
      <c r="D67" s="11">
        <v>16133</v>
      </c>
      <c r="E67" s="13">
        <v>16133</v>
      </c>
      <c r="F67" s="13">
        <v>16133</v>
      </c>
      <c r="G67" s="13">
        <v>16133</v>
      </c>
      <c r="H67" s="13">
        <v>16133</v>
      </c>
      <c r="I67" s="11">
        <v>0</v>
      </c>
      <c r="J67" s="11">
        <v>0</v>
      </c>
      <c r="K67" s="11">
        <v>0</v>
      </c>
      <c r="L67" s="11">
        <v>0</v>
      </c>
      <c r="M67" s="11">
        <v>0</v>
      </c>
      <c r="N67" s="11">
        <v>0</v>
      </c>
      <c r="O67" s="11">
        <v>0</v>
      </c>
      <c r="P67" s="11">
        <v>0</v>
      </c>
      <c r="Q67" s="11">
        <v>0</v>
      </c>
      <c r="R67" s="11">
        <v>0</v>
      </c>
      <c r="S67">
        <v>0</v>
      </c>
      <c r="T67" s="103">
        <v>0</v>
      </c>
    </row>
    <row r="68" spans="1:20" x14ac:dyDescent="0.15">
      <c r="A68" s="12" t="s">
        <v>2</v>
      </c>
      <c r="B68" s="12" t="s">
        <v>21</v>
      </c>
      <c r="C68" s="12"/>
      <c r="D68" s="11">
        <v>986</v>
      </c>
      <c r="E68" s="13">
        <v>986</v>
      </c>
      <c r="F68" s="13">
        <v>986</v>
      </c>
      <c r="G68" s="13">
        <v>986</v>
      </c>
      <c r="H68" s="13">
        <v>986</v>
      </c>
      <c r="I68" s="11">
        <v>0</v>
      </c>
      <c r="J68" s="11">
        <v>0</v>
      </c>
      <c r="K68" s="11">
        <v>0</v>
      </c>
      <c r="L68" s="11">
        <v>0</v>
      </c>
      <c r="M68" s="11">
        <v>0</v>
      </c>
      <c r="N68" s="11">
        <v>0</v>
      </c>
      <c r="O68" s="11">
        <v>0</v>
      </c>
      <c r="P68" s="11">
        <v>0</v>
      </c>
      <c r="Q68" s="11">
        <v>0</v>
      </c>
      <c r="R68" s="11">
        <v>0</v>
      </c>
      <c r="S68">
        <v>0</v>
      </c>
      <c r="T68" s="103">
        <v>0</v>
      </c>
    </row>
    <row r="69" spans="1:20" x14ac:dyDescent="0.15">
      <c r="A69" s="12" t="s">
        <v>2</v>
      </c>
      <c r="B69" s="12" t="s">
        <v>22</v>
      </c>
      <c r="C69" s="12"/>
      <c r="D69" s="11">
        <v>7410</v>
      </c>
      <c r="E69" s="13">
        <f t="shared" ref="E69:E109" si="4">D69+(I69-D69)/4</f>
        <v>6725.75</v>
      </c>
      <c r="F69" s="13">
        <f t="shared" ref="F69:F109" si="5">E69+(J69-E69)/4</f>
        <v>6336.0619624999999</v>
      </c>
      <c r="G69" s="13">
        <f t="shared" ref="G69:G109" si="6">F69+(K69-F69)/4</f>
        <v>6025.2725431250001</v>
      </c>
      <c r="H69" s="13">
        <f t="shared" ref="H69:H109" si="7">G69+(L69-G69)/4</f>
        <v>5490.9413498437498</v>
      </c>
      <c r="I69" s="11">
        <v>4673</v>
      </c>
      <c r="J69" s="11">
        <v>5166.9978500000007</v>
      </c>
      <c r="K69" s="11">
        <v>5092.9042850000005</v>
      </c>
      <c r="L69" s="11">
        <v>3887.9477700000002</v>
      </c>
      <c r="M69" s="11">
        <v>3819.9318325000004</v>
      </c>
      <c r="N69" s="11">
        <v>4076.4758999999999</v>
      </c>
      <c r="O69" s="11">
        <v>4741</v>
      </c>
      <c r="P69" s="11">
        <v>4612</v>
      </c>
      <c r="Q69" s="11">
        <v>4314</v>
      </c>
      <c r="R69" s="11">
        <v>4303</v>
      </c>
      <c r="S69" s="97">
        <v>3954</v>
      </c>
      <c r="T69" s="103">
        <v>3874</v>
      </c>
    </row>
    <row r="70" spans="1:20" x14ac:dyDescent="0.15">
      <c r="A70" s="12" t="s">
        <v>2</v>
      </c>
      <c r="B70" s="12" t="s">
        <v>23</v>
      </c>
      <c r="C70" s="12"/>
      <c r="D70" s="11"/>
      <c r="E70" s="13">
        <f t="shared" si="4"/>
        <v>714</v>
      </c>
      <c r="F70" s="13">
        <f t="shared" si="5"/>
        <v>1374.3048199999998</v>
      </c>
      <c r="G70" s="13">
        <f t="shared" si="6"/>
        <v>1816.43028</v>
      </c>
      <c r="H70" s="13">
        <f t="shared" si="7"/>
        <v>1908.8296150000001</v>
      </c>
      <c r="I70" s="11">
        <v>2856</v>
      </c>
      <c r="J70" s="11">
        <v>3355.2192799999998</v>
      </c>
      <c r="K70" s="11">
        <v>3142.8066600000002</v>
      </c>
      <c r="L70" s="11">
        <v>2186.0276200000003</v>
      </c>
      <c r="M70" s="11">
        <v>2215.8624075000002</v>
      </c>
      <c r="N70" s="11">
        <v>2522.7139000000002</v>
      </c>
      <c r="O70" s="11">
        <v>2793</v>
      </c>
      <c r="P70" s="11">
        <v>2834</v>
      </c>
      <c r="Q70" s="11">
        <v>2525</v>
      </c>
      <c r="R70" s="11">
        <v>2611</v>
      </c>
      <c r="S70" s="97">
        <v>2427</v>
      </c>
      <c r="T70" s="103">
        <v>2324</v>
      </c>
    </row>
    <row r="71" spans="1:20" x14ac:dyDescent="0.15">
      <c r="A71" s="12" t="s">
        <v>2</v>
      </c>
      <c r="B71" s="12" t="s">
        <v>24</v>
      </c>
      <c r="C71" s="12"/>
      <c r="D71" s="11"/>
      <c r="E71" s="13">
        <f t="shared" si="4"/>
        <v>88</v>
      </c>
      <c r="F71" s="13">
        <f t="shared" si="5"/>
        <v>154.79423</v>
      </c>
      <c r="G71" s="13">
        <f t="shared" si="6"/>
        <v>214.45363499999999</v>
      </c>
      <c r="H71" s="13">
        <f t="shared" si="7"/>
        <v>266.02283875000001</v>
      </c>
      <c r="I71" s="11">
        <v>352</v>
      </c>
      <c r="J71" s="11">
        <v>355.17692</v>
      </c>
      <c r="K71" s="11">
        <v>393.43185</v>
      </c>
      <c r="L71" s="11">
        <v>420.73044999999996</v>
      </c>
      <c r="M71" s="11">
        <v>363.45872500000002</v>
      </c>
      <c r="N71" s="11">
        <v>370.41800000000001</v>
      </c>
      <c r="O71" s="11">
        <v>394</v>
      </c>
      <c r="P71" s="11">
        <v>343</v>
      </c>
      <c r="Q71" s="11">
        <v>299</v>
      </c>
      <c r="R71" s="11">
        <v>247</v>
      </c>
      <c r="S71">
        <v>187</v>
      </c>
      <c r="T71" s="103">
        <v>276</v>
      </c>
    </row>
    <row r="72" spans="1:20" x14ac:dyDescent="0.15">
      <c r="A72" s="12" t="s">
        <v>2</v>
      </c>
      <c r="B72" s="12" t="s">
        <v>25</v>
      </c>
      <c r="C72" s="12"/>
      <c r="D72" s="11"/>
      <c r="E72" s="13">
        <f t="shared" si="4"/>
        <v>110</v>
      </c>
      <c r="F72" s="13">
        <f t="shared" si="5"/>
        <v>200.08687500000002</v>
      </c>
      <c r="G72" s="13">
        <f t="shared" si="6"/>
        <v>278.62680625000002</v>
      </c>
      <c r="H72" s="13">
        <f t="shared" si="7"/>
        <v>328.35536718750001</v>
      </c>
      <c r="I72" s="11">
        <v>440</v>
      </c>
      <c r="J72" s="11">
        <v>470.34750000000003</v>
      </c>
      <c r="K72" s="11">
        <v>514.24659999999994</v>
      </c>
      <c r="L72" s="11">
        <v>477.54104999999998</v>
      </c>
      <c r="M72" s="11">
        <v>353.31397499999997</v>
      </c>
      <c r="N72" s="11">
        <v>325.82900000000001</v>
      </c>
      <c r="O72" s="11">
        <v>311</v>
      </c>
      <c r="P72" s="11">
        <v>325</v>
      </c>
      <c r="Q72" s="11">
        <v>364</v>
      </c>
      <c r="R72" s="11">
        <v>344</v>
      </c>
      <c r="S72">
        <v>385</v>
      </c>
      <c r="T72" s="103">
        <v>324</v>
      </c>
    </row>
    <row r="73" spans="1:20" x14ac:dyDescent="0.15">
      <c r="A73" s="12" t="s">
        <v>2</v>
      </c>
      <c r="B73" s="12" t="s">
        <v>26</v>
      </c>
      <c r="C73" s="12"/>
      <c r="D73" s="11"/>
      <c r="E73" s="13">
        <f t="shared" si="4"/>
        <v>256.25</v>
      </c>
      <c r="F73" s="13">
        <f t="shared" si="5"/>
        <v>438.75103749999994</v>
      </c>
      <c r="G73" s="13">
        <f t="shared" si="6"/>
        <v>589.6680718749999</v>
      </c>
      <c r="H73" s="13">
        <f t="shared" si="7"/>
        <v>643.16321640624983</v>
      </c>
      <c r="I73" s="11">
        <v>1025</v>
      </c>
      <c r="J73" s="11">
        <v>986.25414999999987</v>
      </c>
      <c r="K73" s="11">
        <v>1042.419175</v>
      </c>
      <c r="L73" s="11">
        <v>803.64864999999986</v>
      </c>
      <c r="M73" s="11">
        <v>887.29672500000004</v>
      </c>
      <c r="N73" s="11">
        <v>857.51499999999999</v>
      </c>
      <c r="O73" s="11">
        <v>1243</v>
      </c>
      <c r="P73" s="11">
        <v>1110</v>
      </c>
      <c r="Q73" s="11">
        <v>1125</v>
      </c>
      <c r="R73" s="11">
        <v>1101</v>
      </c>
      <c r="S73">
        <v>955</v>
      </c>
      <c r="T73" s="103">
        <v>950</v>
      </c>
    </row>
    <row r="74" spans="1:20" x14ac:dyDescent="0.15">
      <c r="A74" s="12" t="s">
        <v>2</v>
      </c>
      <c r="B74" s="12" t="s">
        <v>15</v>
      </c>
      <c r="C74" s="12"/>
      <c r="D74" s="11">
        <v>24529</v>
      </c>
      <c r="E74" s="13">
        <f t="shared" si="4"/>
        <v>19565</v>
      </c>
      <c r="F74" s="13">
        <f t="shared" si="5"/>
        <v>15965.4994625</v>
      </c>
      <c r="G74" s="13">
        <f t="shared" si="6"/>
        <v>13247.350668125</v>
      </c>
      <c r="H74" s="13">
        <f t="shared" si="7"/>
        <v>10907.49994359375</v>
      </c>
      <c r="I74" s="11">
        <v>4673</v>
      </c>
      <c r="J74" s="11">
        <v>5166.9978500000007</v>
      </c>
      <c r="K74" s="11">
        <v>5092.9042850000005</v>
      </c>
      <c r="L74" s="11">
        <v>3887.9477700000002</v>
      </c>
      <c r="M74" s="11">
        <v>3819.9318325000004</v>
      </c>
      <c r="N74" s="11">
        <v>4076.4758999999999</v>
      </c>
      <c r="O74" s="11">
        <v>4741</v>
      </c>
      <c r="P74" s="11">
        <v>4612</v>
      </c>
      <c r="Q74" s="11">
        <v>4314</v>
      </c>
      <c r="R74" s="11">
        <v>4303</v>
      </c>
      <c r="S74" s="97">
        <v>3954</v>
      </c>
      <c r="T74" s="103">
        <v>3874</v>
      </c>
    </row>
    <row r="75" spans="1:20" x14ac:dyDescent="0.15">
      <c r="A75" s="12"/>
      <c r="B75" s="12"/>
      <c r="C75" s="12"/>
      <c r="D75" s="11"/>
      <c r="E75" s="13">
        <f t="shared" si="4"/>
        <v>0</v>
      </c>
      <c r="F75" s="13">
        <f t="shared" si="5"/>
        <v>0</v>
      </c>
      <c r="G75" s="13">
        <f t="shared" si="6"/>
        <v>0</v>
      </c>
      <c r="H75" s="13">
        <f t="shared" si="7"/>
        <v>0</v>
      </c>
      <c r="I75" s="11"/>
      <c r="J75" s="11"/>
      <c r="K75" s="11"/>
      <c r="L75" s="11"/>
      <c r="M75" s="11"/>
      <c r="N75" s="11"/>
      <c r="O75" s="11"/>
      <c r="P75" s="11"/>
      <c r="Q75" s="11"/>
      <c r="R75" s="11"/>
    </row>
    <row r="76" spans="1:20" x14ac:dyDescent="0.15">
      <c r="A76" s="12" t="s">
        <v>16</v>
      </c>
      <c r="B76" s="12"/>
      <c r="C76" s="12"/>
      <c r="D76" s="11">
        <v>629</v>
      </c>
      <c r="E76" s="13">
        <f t="shared" si="4"/>
        <v>557.5</v>
      </c>
      <c r="F76" s="13">
        <f t="shared" si="5"/>
        <v>472.13123509198749</v>
      </c>
      <c r="G76" s="13">
        <f t="shared" si="6"/>
        <v>417.33711750871311</v>
      </c>
      <c r="H76" s="13">
        <f t="shared" si="7"/>
        <v>378.72090237403734</v>
      </c>
      <c r="I76" s="11">
        <v>343</v>
      </c>
      <c r="J76" s="11">
        <v>216.02494036794999</v>
      </c>
      <c r="K76" s="11">
        <v>252.95476475889001</v>
      </c>
      <c r="L76" s="11">
        <v>262.87225697001003</v>
      </c>
      <c r="M76" s="11">
        <v>390.97531683504002</v>
      </c>
      <c r="N76" s="11">
        <v>399.04517857400003</v>
      </c>
      <c r="O76" s="11">
        <v>521</v>
      </c>
      <c r="P76" s="11">
        <v>263</v>
      </c>
      <c r="Q76" s="11">
        <v>333</v>
      </c>
      <c r="R76" s="11">
        <v>400</v>
      </c>
      <c r="S76">
        <v>398</v>
      </c>
      <c r="T76" s="103">
        <v>282</v>
      </c>
    </row>
    <row r="77" spans="1:20" x14ac:dyDescent="0.15">
      <c r="A77" s="12"/>
      <c r="B77" s="12"/>
      <c r="C77" s="12"/>
      <c r="D77" s="11"/>
      <c r="E77" s="13">
        <f t="shared" si="4"/>
        <v>0</v>
      </c>
      <c r="F77" s="13">
        <f t="shared" si="5"/>
        <v>0</v>
      </c>
      <c r="G77" s="13">
        <f t="shared" si="6"/>
        <v>0</v>
      </c>
      <c r="H77" s="13">
        <f t="shared" si="7"/>
        <v>0</v>
      </c>
      <c r="I77" s="11"/>
      <c r="J77" s="11"/>
      <c r="K77" s="11"/>
      <c r="L77" s="11"/>
      <c r="M77" s="11"/>
      <c r="N77" s="11"/>
      <c r="O77" s="11"/>
      <c r="P77" s="11"/>
      <c r="Q77" s="11"/>
      <c r="R77" s="11"/>
    </row>
    <row r="78" spans="1:20" x14ac:dyDescent="0.15">
      <c r="A78" s="12" t="s">
        <v>17</v>
      </c>
      <c r="B78" s="12"/>
      <c r="C78" s="12"/>
      <c r="D78" s="11">
        <v>664</v>
      </c>
      <c r="E78" s="13">
        <f t="shared" si="4"/>
        <v>1180.75</v>
      </c>
      <c r="F78" s="13">
        <f t="shared" si="5"/>
        <v>1561.4827717363337</v>
      </c>
      <c r="G78" s="13">
        <f t="shared" si="6"/>
        <v>1888.6505038572773</v>
      </c>
      <c r="H78" s="13">
        <f t="shared" si="7"/>
        <v>2116.5731741448881</v>
      </c>
      <c r="I78" s="11">
        <v>2731</v>
      </c>
      <c r="J78" s="11">
        <v>2703.6810869453348</v>
      </c>
      <c r="K78" s="11">
        <v>2870.153700220108</v>
      </c>
      <c r="L78" s="11">
        <v>2800.34118500772</v>
      </c>
      <c r="M78" s="11">
        <v>2954.6166634250403</v>
      </c>
      <c r="N78" s="11">
        <v>2195.25066983844</v>
      </c>
      <c r="O78" s="11">
        <v>2652</v>
      </c>
      <c r="P78" s="11">
        <v>2529</v>
      </c>
      <c r="Q78" s="11">
        <v>2706</v>
      </c>
      <c r="R78" s="11">
        <v>3648</v>
      </c>
      <c r="S78" s="97">
        <v>3828</v>
      </c>
      <c r="T78" s="103">
        <v>3967</v>
      </c>
    </row>
    <row r="79" spans="1:20" x14ac:dyDescent="0.15">
      <c r="A79" s="12"/>
      <c r="B79" s="12"/>
      <c r="C79" s="12"/>
      <c r="D79" s="11"/>
      <c r="E79" s="13">
        <f t="shared" si="4"/>
        <v>0</v>
      </c>
      <c r="F79" s="13">
        <f t="shared" si="5"/>
        <v>0</v>
      </c>
      <c r="G79" s="13">
        <f t="shared" si="6"/>
        <v>0</v>
      </c>
      <c r="H79" s="13">
        <f t="shared" si="7"/>
        <v>0</v>
      </c>
      <c r="I79" s="11"/>
      <c r="J79" s="11"/>
      <c r="K79" s="11"/>
      <c r="L79" s="11"/>
      <c r="M79" s="11"/>
      <c r="N79" s="11"/>
      <c r="O79" s="11"/>
      <c r="P79" s="11"/>
      <c r="Q79" s="11"/>
      <c r="R79" s="11"/>
    </row>
    <row r="80" spans="1:20" x14ac:dyDescent="0.15">
      <c r="A80" s="12" t="s">
        <v>18</v>
      </c>
      <c r="B80" s="12"/>
      <c r="C80" s="12"/>
      <c r="D80" s="11">
        <v>46</v>
      </c>
      <c r="E80" s="13">
        <f t="shared" si="4"/>
        <v>70.5</v>
      </c>
      <c r="F80" s="13">
        <f t="shared" si="5"/>
        <v>88.875</v>
      </c>
      <c r="G80" s="13">
        <f t="shared" si="6"/>
        <v>102.65625</v>
      </c>
      <c r="H80" s="13">
        <f t="shared" si="7"/>
        <v>112.9921875</v>
      </c>
      <c r="I80" s="11">
        <v>144</v>
      </c>
      <c r="J80" s="11">
        <v>144</v>
      </c>
      <c r="K80" s="11">
        <v>144</v>
      </c>
      <c r="L80" s="11">
        <v>144</v>
      </c>
      <c r="M80" s="11">
        <v>144</v>
      </c>
      <c r="N80" s="11">
        <v>144</v>
      </c>
      <c r="O80" s="11">
        <v>144</v>
      </c>
      <c r="P80" s="11">
        <v>144</v>
      </c>
      <c r="Q80" s="11">
        <v>144</v>
      </c>
      <c r="R80" s="11">
        <v>144</v>
      </c>
      <c r="S80">
        <v>144</v>
      </c>
      <c r="T80" s="103">
        <v>144</v>
      </c>
    </row>
    <row r="81" spans="1:24" x14ac:dyDescent="0.15">
      <c r="A81" s="12"/>
      <c r="B81" s="12"/>
      <c r="C81" s="12"/>
      <c r="D81" s="14"/>
      <c r="E81" s="13">
        <f t="shared" si="4"/>
        <v>0</v>
      </c>
      <c r="F81" s="13">
        <f t="shared" si="5"/>
        <v>0</v>
      </c>
      <c r="G81" s="13">
        <f t="shared" si="6"/>
        <v>0</v>
      </c>
      <c r="H81" s="13">
        <f t="shared" si="7"/>
        <v>0</v>
      </c>
      <c r="I81" s="14"/>
      <c r="J81" s="14"/>
      <c r="K81" s="14"/>
      <c r="L81" s="14"/>
      <c r="M81" s="14"/>
      <c r="N81" s="14"/>
      <c r="O81" s="12"/>
      <c r="P81" s="12"/>
      <c r="Q81" s="12"/>
      <c r="R81" s="12"/>
    </row>
    <row r="82" spans="1:24" s="102" customFormat="1" x14ac:dyDescent="0.15">
      <c r="A82" s="98" t="s">
        <v>44</v>
      </c>
      <c r="B82" s="98" t="s">
        <v>46</v>
      </c>
      <c r="C82" s="98"/>
      <c r="D82" s="99">
        <v>25868</v>
      </c>
      <c r="E82" s="100">
        <f t="shared" si="4"/>
        <v>21373.75</v>
      </c>
      <c r="F82" s="100">
        <f t="shared" si="5"/>
        <v>18087.98846932832</v>
      </c>
      <c r="G82" s="100">
        <f t="shared" si="6"/>
        <v>15655.99453949099</v>
      </c>
      <c r="H82" s="100">
        <f t="shared" si="7"/>
        <v>13515.786207612675</v>
      </c>
      <c r="I82" s="99">
        <v>7891</v>
      </c>
      <c r="J82" s="99">
        <v>8230.7038773132845</v>
      </c>
      <c r="K82" s="99">
        <v>8360.0127499789978</v>
      </c>
      <c r="L82" s="99">
        <v>7095.1612119777301</v>
      </c>
      <c r="M82" s="99">
        <v>7309.5238127600815</v>
      </c>
      <c r="N82" s="99">
        <v>6814.7717484124396</v>
      </c>
      <c r="O82" s="99">
        <v>8058</v>
      </c>
      <c r="P82" s="99">
        <v>7548</v>
      </c>
      <c r="Q82" s="99">
        <v>7497</v>
      </c>
      <c r="R82" s="99">
        <v>8495</v>
      </c>
      <c r="S82" s="101">
        <v>8324</v>
      </c>
      <c r="T82" s="104">
        <v>8267</v>
      </c>
    </row>
    <row r="83" spans="1:24" x14ac:dyDescent="0.15">
      <c r="A83" s="12"/>
      <c r="B83" s="12"/>
      <c r="C83" s="12"/>
      <c r="D83" s="11"/>
      <c r="E83" s="13">
        <f t="shared" si="4"/>
        <v>0</v>
      </c>
      <c r="F83" s="13">
        <f t="shared" si="5"/>
        <v>0</v>
      </c>
      <c r="G83" s="13">
        <f t="shared" si="6"/>
        <v>0</v>
      </c>
      <c r="H83" s="13">
        <f t="shared" si="7"/>
        <v>0</v>
      </c>
      <c r="I83" s="14"/>
      <c r="J83" s="14"/>
      <c r="K83" s="14"/>
      <c r="L83" s="14"/>
      <c r="M83" s="14"/>
      <c r="N83" s="14"/>
      <c r="O83" s="12"/>
      <c r="P83" s="12"/>
      <c r="Q83" s="12"/>
      <c r="R83" s="12"/>
    </row>
    <row r="84" spans="1:24" x14ac:dyDescent="0.15">
      <c r="A84" s="12" t="s">
        <v>27</v>
      </c>
      <c r="B84" s="12"/>
      <c r="C84" s="12"/>
      <c r="D84" s="11"/>
      <c r="E84" s="13">
        <f t="shared" si="4"/>
        <v>0</v>
      </c>
      <c r="F84" s="13">
        <f t="shared" si="5"/>
        <v>0</v>
      </c>
      <c r="G84" s="13">
        <f t="shared" si="6"/>
        <v>0</v>
      </c>
      <c r="H84" s="13">
        <f t="shared" si="7"/>
        <v>0</v>
      </c>
      <c r="I84" s="12"/>
      <c r="J84" s="12"/>
      <c r="K84" s="12"/>
      <c r="L84" s="12"/>
      <c r="M84" s="14"/>
      <c r="N84" s="12"/>
      <c r="O84" s="12"/>
      <c r="P84" s="12"/>
      <c r="Q84" s="12"/>
      <c r="R84" s="12"/>
    </row>
    <row r="85" spans="1:24" x14ac:dyDescent="0.15">
      <c r="A85" s="12"/>
      <c r="B85" s="12"/>
      <c r="C85" s="12"/>
      <c r="D85" s="11"/>
      <c r="E85" s="13">
        <f t="shared" si="4"/>
        <v>0</v>
      </c>
      <c r="F85" s="13">
        <f t="shared" si="5"/>
        <v>0</v>
      </c>
      <c r="G85" s="13">
        <f t="shared" si="6"/>
        <v>0</v>
      </c>
      <c r="H85" s="13">
        <f t="shared" si="7"/>
        <v>0</v>
      </c>
      <c r="I85" s="11"/>
      <c r="J85" s="11"/>
      <c r="K85" s="11"/>
      <c r="L85" s="11"/>
      <c r="M85" s="11"/>
      <c r="N85" s="11"/>
      <c r="O85" s="11"/>
      <c r="P85" s="11"/>
      <c r="Q85" s="11"/>
      <c r="R85" s="11"/>
      <c r="X85">
        <f>S105+(($X105-$S105)/5)</f>
        <v>0</v>
      </c>
    </row>
    <row r="86" spans="1:24" x14ac:dyDescent="0.15">
      <c r="A86" s="12" t="s">
        <v>2</v>
      </c>
      <c r="B86" s="12" t="s">
        <v>28</v>
      </c>
      <c r="C86" s="12"/>
      <c r="D86" s="11">
        <v>19123</v>
      </c>
      <c r="E86" s="13">
        <f t="shared" si="4"/>
        <v>19801.75</v>
      </c>
      <c r="F86" s="13">
        <f t="shared" si="5"/>
        <v>20257.604050715003</v>
      </c>
      <c r="G86" s="13">
        <f t="shared" si="6"/>
        <v>19692.504348239487</v>
      </c>
      <c r="H86" s="13">
        <f t="shared" si="7"/>
        <v>19180.258278784971</v>
      </c>
      <c r="I86" s="11">
        <v>21838</v>
      </c>
      <c r="J86" s="11">
        <v>21625.166202860008</v>
      </c>
      <c r="K86" s="11">
        <v>17997.205240812935</v>
      </c>
      <c r="L86" s="11">
        <v>17643.520070421422</v>
      </c>
      <c r="M86" s="11">
        <v>16211.159407327235</v>
      </c>
      <c r="N86" s="11">
        <v>16377.427087019061</v>
      </c>
      <c r="O86" s="11">
        <v>15760</v>
      </c>
      <c r="P86" s="11">
        <v>15985</v>
      </c>
      <c r="Q86" s="11">
        <v>14942</v>
      </c>
      <c r="R86" s="11">
        <v>15219</v>
      </c>
      <c r="S86" s="97">
        <v>12896</v>
      </c>
      <c r="T86" s="103">
        <v>10649</v>
      </c>
    </row>
    <row r="87" spans="1:24" x14ac:dyDescent="0.15">
      <c r="A87" s="12" t="s">
        <v>2</v>
      </c>
      <c r="B87" s="12" t="s">
        <v>29</v>
      </c>
      <c r="C87" s="12"/>
      <c r="D87" s="11">
        <v>27049</v>
      </c>
      <c r="E87" s="13">
        <f t="shared" si="4"/>
        <v>28468.75</v>
      </c>
      <c r="F87" s="13">
        <f t="shared" si="5"/>
        <v>30287.227451892748</v>
      </c>
      <c r="G87" s="13">
        <f t="shared" si="6"/>
        <v>30924.074000802371</v>
      </c>
      <c r="H87" s="13">
        <f t="shared" si="7"/>
        <v>31105.01073463475</v>
      </c>
      <c r="I87" s="11">
        <v>32728</v>
      </c>
      <c r="J87" s="11">
        <v>35742.659807570992</v>
      </c>
      <c r="K87" s="11">
        <v>32834.613647531245</v>
      </c>
      <c r="L87" s="11">
        <v>31647.82093613188</v>
      </c>
      <c r="M87" s="11">
        <v>25910.682254536714</v>
      </c>
      <c r="N87" s="11">
        <v>26454.199475482143</v>
      </c>
      <c r="O87" s="11">
        <v>27359</v>
      </c>
      <c r="P87" s="11">
        <v>27714</v>
      </c>
      <c r="Q87" s="11">
        <v>28387</v>
      </c>
      <c r="R87" s="11">
        <v>29461</v>
      </c>
      <c r="S87" s="97">
        <v>27133</v>
      </c>
      <c r="T87" s="103">
        <v>27450</v>
      </c>
    </row>
    <row r="88" spans="1:24" x14ac:dyDescent="0.15">
      <c r="A88" s="12" t="s">
        <v>2</v>
      </c>
      <c r="B88" s="12" t="s">
        <v>30</v>
      </c>
      <c r="C88" s="12"/>
      <c r="D88" s="11">
        <v>16700</v>
      </c>
      <c r="E88" s="13">
        <f t="shared" si="4"/>
        <v>17200</v>
      </c>
      <c r="F88" s="13">
        <f t="shared" si="5"/>
        <v>16639.30959900036</v>
      </c>
      <c r="G88" s="13">
        <f t="shared" si="6"/>
        <v>17038.764611527171</v>
      </c>
      <c r="H88" s="13">
        <f t="shared" si="7"/>
        <v>17813.858995226314</v>
      </c>
      <c r="I88" s="11">
        <v>18700</v>
      </c>
      <c r="J88" s="11">
        <v>14957.238396001439</v>
      </c>
      <c r="K88" s="11">
        <v>18237.129649107603</v>
      </c>
      <c r="L88" s="11">
        <v>20139.142146323749</v>
      </c>
      <c r="M88" s="11">
        <v>15230.73085072926</v>
      </c>
      <c r="N88" s="11">
        <v>17183.923756896937</v>
      </c>
      <c r="O88" s="11">
        <v>18425</v>
      </c>
      <c r="P88" s="11">
        <v>17756</v>
      </c>
      <c r="Q88" s="11">
        <v>18318</v>
      </c>
      <c r="R88" s="11">
        <v>14715</v>
      </c>
      <c r="S88" s="97">
        <v>16690</v>
      </c>
      <c r="T88" s="103">
        <v>14251</v>
      </c>
    </row>
    <row r="89" spans="1:24" x14ac:dyDescent="0.15">
      <c r="A89" s="12" t="s">
        <v>2</v>
      </c>
      <c r="B89" s="12" t="s">
        <v>41</v>
      </c>
      <c r="C89" s="12" t="s">
        <v>42</v>
      </c>
      <c r="D89" s="11">
        <v>16653.43</v>
      </c>
      <c r="E89" s="13">
        <f t="shared" si="4"/>
        <v>15630.0725</v>
      </c>
      <c r="F89" s="13">
        <f t="shared" si="5"/>
        <v>15020.81894567525</v>
      </c>
      <c r="G89" s="13">
        <f t="shared" si="6"/>
        <v>14647.929426542687</v>
      </c>
      <c r="H89" s="13">
        <f t="shared" si="7"/>
        <v>14823.105832884477</v>
      </c>
      <c r="I89" s="11">
        <v>12560</v>
      </c>
      <c r="J89" s="11">
        <v>13193.058282701</v>
      </c>
      <c r="K89" s="11">
        <v>13529.260869144999</v>
      </c>
      <c r="L89" s="11">
        <v>15348.635051909852</v>
      </c>
      <c r="M89" s="11">
        <v>15884.632542699997</v>
      </c>
      <c r="N89" s="11">
        <v>14469.457644500002</v>
      </c>
      <c r="O89" s="11">
        <v>15126</v>
      </c>
      <c r="P89" s="11">
        <v>14801</v>
      </c>
      <c r="Q89" s="11">
        <v>14573</v>
      </c>
      <c r="R89" s="11">
        <v>12982</v>
      </c>
      <c r="S89" s="97">
        <v>12463</v>
      </c>
      <c r="T89" s="103">
        <v>13216</v>
      </c>
    </row>
    <row r="90" spans="1:24" x14ac:dyDescent="0.15">
      <c r="A90" s="12" t="s">
        <v>2</v>
      </c>
      <c r="B90" s="12" t="s">
        <v>31</v>
      </c>
      <c r="C90" s="12"/>
      <c r="D90" s="11">
        <v>15093.43</v>
      </c>
      <c r="E90" s="13">
        <f t="shared" si="4"/>
        <v>14134.3225</v>
      </c>
      <c r="F90" s="13">
        <f t="shared" si="5"/>
        <v>13610.71626515</v>
      </c>
      <c r="G90" s="13">
        <f t="shared" si="6"/>
        <v>13288.844631362501</v>
      </c>
      <c r="H90" s="13">
        <f t="shared" si="7"/>
        <v>13545.92909121234</v>
      </c>
      <c r="I90" s="11">
        <v>11257</v>
      </c>
      <c r="J90" s="11">
        <v>12039.897560600002</v>
      </c>
      <c r="K90" s="11">
        <v>12323.229730000003</v>
      </c>
      <c r="L90" s="11">
        <v>14317.182470761854</v>
      </c>
      <c r="M90" s="11">
        <v>14902.368783999998</v>
      </c>
      <c r="N90" s="11">
        <v>13477.466309000001</v>
      </c>
      <c r="O90" s="11">
        <v>14116</v>
      </c>
      <c r="P90" s="11">
        <v>13742</v>
      </c>
      <c r="Q90" s="11">
        <v>13477</v>
      </c>
      <c r="R90" s="11">
        <v>12048</v>
      </c>
      <c r="S90" s="97">
        <v>11529</v>
      </c>
      <c r="T90" s="103">
        <v>12282</v>
      </c>
    </row>
    <row r="91" spans="1:24" x14ac:dyDescent="0.15">
      <c r="A91" s="12" t="s">
        <v>2</v>
      </c>
      <c r="B91" s="12" t="s">
        <v>32</v>
      </c>
      <c r="C91" s="12"/>
      <c r="D91" s="11">
        <v>1560</v>
      </c>
      <c r="E91" s="13">
        <f t="shared" si="4"/>
        <v>1495.75</v>
      </c>
      <c r="F91" s="13">
        <f t="shared" si="5"/>
        <v>1410.10268052525</v>
      </c>
      <c r="G91" s="13">
        <f t="shared" si="6"/>
        <v>1359.0847951801875</v>
      </c>
      <c r="H91" s="13">
        <f t="shared" si="7"/>
        <v>1277.1767416721407</v>
      </c>
      <c r="I91" s="11">
        <v>1303</v>
      </c>
      <c r="J91" s="11">
        <v>1153.1607221010004</v>
      </c>
      <c r="K91" s="11">
        <v>1206.0311391450002</v>
      </c>
      <c r="L91" s="11">
        <v>1031.452581148</v>
      </c>
      <c r="M91" s="11">
        <v>982.26375870000015</v>
      </c>
      <c r="N91" s="11">
        <v>991.9913355000001</v>
      </c>
      <c r="O91" s="11">
        <v>1010</v>
      </c>
      <c r="P91" s="11">
        <v>1059</v>
      </c>
      <c r="Q91" s="11">
        <v>1095</v>
      </c>
      <c r="R91" s="11">
        <v>934</v>
      </c>
      <c r="S91">
        <v>934</v>
      </c>
      <c r="T91" s="103">
        <v>934</v>
      </c>
    </row>
    <row r="92" spans="1:24" x14ac:dyDescent="0.15">
      <c r="A92" s="16" t="s">
        <v>52</v>
      </c>
      <c r="B92" s="16" t="s">
        <v>37</v>
      </c>
      <c r="C92" s="16"/>
      <c r="D92" s="11">
        <f>SUM(D86:D89)</f>
        <v>79525.429999999993</v>
      </c>
      <c r="E92" s="13">
        <f t="shared" si="4"/>
        <v>81100.572499999995</v>
      </c>
      <c r="F92" s="13">
        <f t="shared" si="5"/>
        <v>82204.960047283355</v>
      </c>
      <c r="G92" s="13">
        <f t="shared" si="6"/>
        <v>82303.272387111705</v>
      </c>
      <c r="H92" s="13">
        <f t="shared" si="7"/>
        <v>82922.233841530498</v>
      </c>
      <c r="I92" s="11">
        <f t="shared" ref="I92:O92" si="8">SUM(I86:I89)</f>
        <v>85826</v>
      </c>
      <c r="J92" s="11">
        <f t="shared" si="8"/>
        <v>85518.122689133452</v>
      </c>
      <c r="K92" s="11">
        <f t="shared" si="8"/>
        <v>82598.209406596783</v>
      </c>
      <c r="L92" s="11">
        <f>SUM(L86:L89)</f>
        <v>84779.118204786893</v>
      </c>
      <c r="M92" s="11">
        <f t="shared" si="8"/>
        <v>73237.205055293205</v>
      </c>
      <c r="N92" s="11">
        <f>SUM(N86:N89)</f>
        <v>74485.007963898141</v>
      </c>
      <c r="O92" s="11">
        <f t="shared" si="8"/>
        <v>76670</v>
      </c>
      <c r="P92" s="11">
        <f>SUM(P86:P89)</f>
        <v>76256</v>
      </c>
      <c r="Q92" s="11">
        <f>SUM(Q86:Q89)</f>
        <v>76220</v>
      </c>
      <c r="R92" s="11">
        <f>SUM(R86:R89)</f>
        <v>72377</v>
      </c>
      <c r="S92" s="97">
        <v>69182</v>
      </c>
      <c r="T92" s="103">
        <v>65566</v>
      </c>
    </row>
    <row r="93" spans="1:24" x14ac:dyDescent="0.15">
      <c r="A93" s="12" t="s">
        <v>16</v>
      </c>
      <c r="B93" s="12" t="s">
        <v>33</v>
      </c>
      <c r="C93" s="12"/>
      <c r="D93" s="11">
        <v>2150</v>
      </c>
      <c r="E93" s="13">
        <f t="shared" si="4"/>
        <v>2110.25</v>
      </c>
      <c r="F93" s="13">
        <f t="shared" si="5"/>
        <v>2080.4375</v>
      </c>
      <c r="G93" s="13">
        <f t="shared" si="6"/>
        <v>2058.078125</v>
      </c>
      <c r="H93" s="13">
        <f t="shared" si="7"/>
        <v>2041.30859375</v>
      </c>
      <c r="I93" s="11">
        <v>1991</v>
      </c>
      <c r="J93" s="11">
        <v>1991.0000000000002</v>
      </c>
      <c r="K93" s="11">
        <v>1991.0000000000002</v>
      </c>
      <c r="L93" s="11">
        <v>1991.0000000000002</v>
      </c>
      <c r="M93" s="11">
        <v>1858.5268409242819</v>
      </c>
      <c r="N93" s="11">
        <v>1813.9994959022372</v>
      </c>
      <c r="O93" s="11">
        <v>1868</v>
      </c>
      <c r="P93" s="11">
        <v>1978</v>
      </c>
      <c r="Q93" s="11">
        <v>1984</v>
      </c>
      <c r="R93" s="11">
        <v>2299</v>
      </c>
      <c r="S93" s="97">
        <v>2940</v>
      </c>
      <c r="T93" s="103">
        <v>2673</v>
      </c>
    </row>
    <row r="94" spans="1:24" x14ac:dyDescent="0.15">
      <c r="A94" s="12" t="s">
        <v>16</v>
      </c>
      <c r="B94" s="12" t="s">
        <v>30</v>
      </c>
      <c r="C94" s="12"/>
      <c r="D94" s="11"/>
      <c r="E94" s="13">
        <f t="shared" si="4"/>
        <v>89.75</v>
      </c>
      <c r="F94" s="13">
        <f t="shared" si="5"/>
        <v>157.0625</v>
      </c>
      <c r="G94" s="13">
        <f t="shared" si="6"/>
        <v>207.546875</v>
      </c>
      <c r="H94" s="13">
        <f t="shared" si="7"/>
        <v>245.41015625</v>
      </c>
      <c r="I94" s="11">
        <v>359</v>
      </c>
      <c r="J94" s="11">
        <v>359.00000000000006</v>
      </c>
      <c r="K94" s="11">
        <v>359.00000000000006</v>
      </c>
      <c r="L94" s="11">
        <v>359.00000000000006</v>
      </c>
      <c r="M94" s="11">
        <v>382.40046838940583</v>
      </c>
      <c r="N94" s="11">
        <v>431.43960442913306</v>
      </c>
      <c r="O94" s="11">
        <v>474</v>
      </c>
      <c r="P94" s="11">
        <v>457</v>
      </c>
      <c r="Q94" s="11">
        <v>471</v>
      </c>
      <c r="R94" s="11">
        <v>1488</v>
      </c>
      <c r="S94">
        <v>585</v>
      </c>
      <c r="T94" s="103">
        <v>543</v>
      </c>
    </row>
    <row r="95" spans="1:24" x14ac:dyDescent="0.15">
      <c r="A95" s="12"/>
      <c r="B95" s="12"/>
      <c r="C95" s="12"/>
      <c r="D95" s="11"/>
      <c r="E95" s="13">
        <f t="shared" si="4"/>
        <v>0</v>
      </c>
      <c r="F95" s="13">
        <f t="shared" si="5"/>
        <v>0</v>
      </c>
      <c r="G95" s="13">
        <f t="shared" si="6"/>
        <v>0</v>
      </c>
      <c r="H95" s="13">
        <f t="shared" si="7"/>
        <v>0</v>
      </c>
      <c r="I95" s="11"/>
      <c r="J95" s="11"/>
      <c r="K95" s="11"/>
      <c r="L95" s="11"/>
      <c r="M95" s="11"/>
      <c r="N95" s="11"/>
      <c r="O95" s="11"/>
      <c r="P95" s="11"/>
      <c r="Q95" s="11"/>
      <c r="R95" s="11"/>
    </row>
    <row r="96" spans="1:24" x14ac:dyDescent="0.15">
      <c r="A96" s="12" t="s">
        <v>17</v>
      </c>
      <c r="B96" s="12" t="s">
        <v>33</v>
      </c>
      <c r="C96" s="12"/>
      <c r="D96" s="11">
        <v>1385</v>
      </c>
      <c r="E96" s="13">
        <f t="shared" si="4"/>
        <v>1362.75</v>
      </c>
      <c r="F96" s="13">
        <f t="shared" si="5"/>
        <v>1346.0625</v>
      </c>
      <c r="G96" s="13">
        <f t="shared" si="6"/>
        <v>1333.546875</v>
      </c>
      <c r="H96" s="13">
        <f t="shared" si="7"/>
        <v>1324.16015625</v>
      </c>
      <c r="I96" s="11">
        <v>1296</v>
      </c>
      <c r="J96" s="11">
        <v>1296</v>
      </c>
      <c r="K96" s="11">
        <v>1296</v>
      </c>
      <c r="L96" s="11">
        <v>1296</v>
      </c>
      <c r="M96" s="11">
        <v>1302.6445715733566</v>
      </c>
      <c r="N96" s="11">
        <v>1882.4287943073057</v>
      </c>
      <c r="O96" s="11">
        <v>2019</v>
      </c>
      <c r="P96" s="11">
        <v>2206</v>
      </c>
      <c r="Q96" s="11">
        <v>2218</v>
      </c>
      <c r="R96" s="11">
        <v>2071</v>
      </c>
      <c r="S96" s="97">
        <v>4156</v>
      </c>
      <c r="T96" s="103">
        <v>3578</v>
      </c>
    </row>
    <row r="97" spans="1:24" x14ac:dyDescent="0.15">
      <c r="A97" s="12" t="s">
        <v>17</v>
      </c>
      <c r="B97" s="12" t="s">
        <v>30</v>
      </c>
      <c r="C97" s="12"/>
      <c r="D97" s="11"/>
      <c r="E97" s="13">
        <f t="shared" si="4"/>
        <v>68.75</v>
      </c>
      <c r="F97" s="13">
        <f t="shared" si="5"/>
        <v>120.31249999999999</v>
      </c>
      <c r="G97" s="13">
        <f t="shared" si="6"/>
        <v>158.98437499999997</v>
      </c>
      <c r="H97" s="13">
        <f t="shared" si="7"/>
        <v>187.98828124999997</v>
      </c>
      <c r="I97" s="11">
        <v>275</v>
      </c>
      <c r="J97" s="11">
        <v>274.99999999999994</v>
      </c>
      <c r="K97" s="11">
        <v>274.99999999999994</v>
      </c>
      <c r="L97" s="11">
        <v>274.99999999999994</v>
      </c>
      <c r="M97" s="11">
        <v>300.7906123306912</v>
      </c>
      <c r="N97" s="11">
        <v>339.36407909364738</v>
      </c>
      <c r="O97" s="11">
        <v>444</v>
      </c>
      <c r="P97" s="11">
        <v>428</v>
      </c>
      <c r="Q97" s="11">
        <v>441</v>
      </c>
      <c r="R97" s="11">
        <v>1548</v>
      </c>
      <c r="S97">
        <v>744</v>
      </c>
      <c r="T97" s="103">
        <v>573</v>
      </c>
    </row>
    <row r="98" spans="1:24" x14ac:dyDescent="0.15">
      <c r="A98" s="12"/>
      <c r="B98" s="12"/>
      <c r="C98" s="12"/>
      <c r="D98" s="11"/>
      <c r="E98" s="13">
        <f t="shared" si="4"/>
        <v>0</v>
      </c>
      <c r="F98" s="13">
        <f t="shared" si="5"/>
        <v>0</v>
      </c>
      <c r="G98" s="13">
        <f t="shared" si="6"/>
        <v>0</v>
      </c>
      <c r="H98" s="13">
        <f t="shared" si="7"/>
        <v>0</v>
      </c>
      <c r="I98" s="11"/>
      <c r="J98" s="11"/>
      <c r="K98" s="11"/>
      <c r="L98" s="11"/>
      <c r="M98" s="11"/>
      <c r="N98" s="11"/>
      <c r="O98" s="11"/>
      <c r="P98" s="11"/>
      <c r="Q98" s="11"/>
      <c r="R98" s="11"/>
    </row>
    <row r="99" spans="1:24" x14ac:dyDescent="0.15">
      <c r="A99" s="12" t="s">
        <v>18</v>
      </c>
      <c r="B99" s="12" t="s">
        <v>30</v>
      </c>
      <c r="C99" s="12"/>
      <c r="D99" s="11">
        <v>55</v>
      </c>
      <c r="E99" s="13">
        <f t="shared" si="4"/>
        <v>56.75</v>
      </c>
      <c r="F99" s="13">
        <f t="shared" si="5"/>
        <v>58.0625</v>
      </c>
      <c r="G99" s="13">
        <f t="shared" si="6"/>
        <v>59.046875</v>
      </c>
      <c r="H99" s="13">
        <f t="shared" si="7"/>
        <v>59.78515625</v>
      </c>
      <c r="I99" s="11">
        <v>62</v>
      </c>
      <c r="J99" s="11">
        <v>61.999999999999993</v>
      </c>
      <c r="K99" s="11">
        <v>61.999999999999993</v>
      </c>
      <c r="L99" s="11">
        <v>61.999999999999993</v>
      </c>
      <c r="M99" s="11">
        <v>61.999999999999993</v>
      </c>
      <c r="N99" s="11">
        <v>61.999999999999993</v>
      </c>
      <c r="O99" s="11">
        <v>62</v>
      </c>
      <c r="P99" s="11">
        <v>62</v>
      </c>
      <c r="Q99" s="11">
        <v>62</v>
      </c>
      <c r="R99" s="11">
        <v>62</v>
      </c>
      <c r="S99">
        <v>62</v>
      </c>
      <c r="T99" s="103">
        <v>62</v>
      </c>
    </row>
    <row r="100" spans="1:24" x14ac:dyDescent="0.15">
      <c r="A100" s="12"/>
      <c r="B100" s="12"/>
      <c r="C100" s="12"/>
      <c r="D100" s="11"/>
      <c r="E100" s="13">
        <f t="shared" si="4"/>
        <v>0</v>
      </c>
      <c r="F100" s="13">
        <f t="shared" si="5"/>
        <v>0</v>
      </c>
      <c r="G100" s="13">
        <f t="shared" si="6"/>
        <v>0</v>
      </c>
      <c r="H100" s="13">
        <f t="shared" si="7"/>
        <v>0</v>
      </c>
      <c r="I100" s="11"/>
      <c r="J100" s="11"/>
      <c r="K100" s="11"/>
      <c r="L100" s="11"/>
      <c r="M100" s="11"/>
      <c r="N100" s="11"/>
      <c r="O100" s="11"/>
      <c r="P100" s="11"/>
      <c r="Q100" s="11"/>
      <c r="R100" s="11"/>
    </row>
    <row r="101" spans="1:24" s="102" customFormat="1" x14ac:dyDescent="0.15">
      <c r="A101" s="98" t="s">
        <v>47</v>
      </c>
      <c r="B101" s="98" t="s">
        <v>36</v>
      </c>
      <c r="C101" s="98"/>
      <c r="D101" s="99">
        <v>83115.429999999993</v>
      </c>
      <c r="E101" s="100">
        <f t="shared" si="4"/>
        <v>84630.322499999995</v>
      </c>
      <c r="F101" s="100">
        <f t="shared" si="5"/>
        <v>85702.730880616698</v>
      </c>
      <c r="G101" s="100">
        <f t="shared" si="6"/>
        <v>85922.35051211172</v>
      </c>
      <c r="H101" s="100">
        <f t="shared" si="7"/>
        <v>86632.292435280513</v>
      </c>
      <c r="I101" s="99">
        <v>89175</v>
      </c>
      <c r="J101" s="99">
        <v>88919.95602246678</v>
      </c>
      <c r="K101" s="99">
        <v>86581.209406596783</v>
      </c>
      <c r="L101" s="99">
        <v>88762.118204786908</v>
      </c>
      <c r="M101" s="99">
        <v>77143.567548510939</v>
      </c>
      <c r="N101" s="99">
        <v>79014.239937630467</v>
      </c>
      <c r="O101" s="99">
        <v>81537</v>
      </c>
      <c r="P101" s="99">
        <v>81387</v>
      </c>
      <c r="Q101" s="99">
        <v>81397</v>
      </c>
      <c r="R101" s="99">
        <v>79845</v>
      </c>
      <c r="S101" s="101">
        <v>77699</v>
      </c>
      <c r="T101" s="103">
        <v>72995</v>
      </c>
    </row>
    <row r="102" spans="1:24" x14ac:dyDescent="0.15">
      <c r="A102" s="12"/>
      <c r="B102" s="12"/>
      <c r="C102" s="12"/>
      <c r="D102" s="14"/>
      <c r="E102" s="13">
        <f t="shared" si="4"/>
        <v>0</v>
      </c>
      <c r="F102" s="13">
        <f t="shared" si="5"/>
        <v>0</v>
      </c>
      <c r="G102" s="13">
        <f t="shared" si="6"/>
        <v>0</v>
      </c>
      <c r="H102" s="13">
        <f t="shared" si="7"/>
        <v>0</v>
      </c>
      <c r="I102" s="14"/>
      <c r="J102" s="14"/>
      <c r="K102" s="14"/>
      <c r="L102" s="14"/>
      <c r="M102" s="14"/>
      <c r="N102" s="14"/>
      <c r="O102" s="12"/>
      <c r="P102" s="12"/>
      <c r="Q102" s="12"/>
      <c r="R102" s="12"/>
    </row>
    <row r="103" spans="1:24" x14ac:dyDescent="0.15">
      <c r="A103" s="96" t="s">
        <v>34</v>
      </c>
      <c r="B103" s="96"/>
      <c r="C103" s="96"/>
      <c r="D103" s="15">
        <v>226003.43</v>
      </c>
      <c r="E103" s="13">
        <f t="shared" si="4"/>
        <v>219994.68399250001</v>
      </c>
      <c r="F103" s="13">
        <f t="shared" si="5"/>
        <v>216031.82975175825</v>
      </c>
      <c r="G103" s="13">
        <f t="shared" si="6"/>
        <v>212165.55390615633</v>
      </c>
      <c r="H103" s="13">
        <f t="shared" si="7"/>
        <v>210827.38851232501</v>
      </c>
      <c r="I103" s="15">
        <v>201968.44597</v>
      </c>
      <c r="J103" s="15">
        <v>204143.26702953299</v>
      </c>
      <c r="K103" s="15">
        <v>200566.72636935062</v>
      </c>
      <c r="L103" s="15">
        <v>206812.89233083097</v>
      </c>
      <c r="M103" s="15">
        <v>190205.46553888445</v>
      </c>
      <c r="N103" s="15">
        <v>183887.47910268686</v>
      </c>
      <c r="O103" s="15">
        <v>190722</v>
      </c>
      <c r="P103" s="15">
        <v>186456</v>
      </c>
      <c r="Q103" s="15">
        <v>192256</v>
      </c>
      <c r="R103" s="15">
        <v>185399</v>
      </c>
      <c r="S103" s="15">
        <v>183011</v>
      </c>
      <c r="T103" s="105">
        <v>182694</v>
      </c>
      <c r="U103" s="15">
        <f t="shared" ref="U103:W103" si="9">T103+(($X103-$S103)/5)</f>
        <v>180426.4358149</v>
      </c>
      <c r="V103" s="15">
        <f t="shared" si="9"/>
        <v>178158.87162980001</v>
      </c>
      <c r="W103" s="15">
        <f t="shared" si="9"/>
        <v>175891.30744470001</v>
      </c>
      <c r="X103" s="15">
        <f>I103-(I103*0.15)</f>
        <v>171673.17907449999</v>
      </c>
    </row>
    <row r="104" spans="1:24" x14ac:dyDescent="0.15">
      <c r="A104" s="12" t="s">
        <v>35</v>
      </c>
      <c r="B104" s="12"/>
      <c r="C104" s="12"/>
      <c r="D104" s="12"/>
      <c r="E104" s="13">
        <f t="shared" si="4"/>
        <v>0</v>
      </c>
      <c r="F104" s="13">
        <f t="shared" si="5"/>
        <v>0</v>
      </c>
      <c r="G104" s="13">
        <f t="shared" si="6"/>
        <v>0</v>
      </c>
      <c r="H104" s="13">
        <f t="shared" si="7"/>
        <v>0</v>
      </c>
      <c r="I104" s="12"/>
      <c r="J104" s="12"/>
      <c r="K104" s="12"/>
      <c r="L104" s="12"/>
      <c r="M104" s="12"/>
      <c r="N104" s="12"/>
      <c r="O104" s="12"/>
      <c r="P104" s="12"/>
      <c r="Q104" s="12"/>
      <c r="R104" s="12"/>
    </row>
    <row r="105" spans="1:24" x14ac:dyDescent="0.15">
      <c r="A105" s="12"/>
      <c r="B105" s="12"/>
      <c r="C105" s="12"/>
      <c r="D105" s="12"/>
      <c r="E105" s="13">
        <f t="shared" si="4"/>
        <v>0</v>
      </c>
      <c r="F105" s="13">
        <f t="shared" si="5"/>
        <v>0</v>
      </c>
      <c r="G105" s="13">
        <f t="shared" si="6"/>
        <v>0</v>
      </c>
      <c r="H105" s="13">
        <f t="shared" si="7"/>
        <v>0</v>
      </c>
      <c r="I105" s="12"/>
      <c r="J105" s="12"/>
      <c r="K105" s="12"/>
      <c r="L105" s="12"/>
      <c r="M105" s="12"/>
      <c r="N105" s="12"/>
      <c r="O105" s="12"/>
      <c r="P105" s="12"/>
      <c r="Q105" s="12"/>
      <c r="R105" s="12"/>
    </row>
    <row r="106" spans="1:24" x14ac:dyDescent="0.15">
      <c r="A106" s="16" t="s">
        <v>38</v>
      </c>
      <c r="B106" s="16"/>
      <c r="C106" s="16"/>
      <c r="D106" s="17">
        <f>SUM(D49,D74,D92)</f>
        <v>220111.43</v>
      </c>
      <c r="E106" s="13">
        <f t="shared" si="4"/>
        <v>213540.93399250001</v>
      </c>
      <c r="F106" s="13">
        <f t="shared" si="5"/>
        <v>209148.74198607914</v>
      </c>
      <c r="G106" s="13">
        <f t="shared" si="6"/>
        <v>204673.96074038395</v>
      </c>
      <c r="H106" s="13">
        <f t="shared" si="7"/>
        <v>202885.64581974695</v>
      </c>
      <c r="I106" s="17">
        <f t="shared" ref="I106:O106" si="10">SUM(I49,I74,I92)</f>
        <v>193829.44597</v>
      </c>
      <c r="J106" s="17">
        <f t="shared" si="10"/>
        <v>195972.16596681651</v>
      </c>
      <c r="K106" s="17">
        <f t="shared" si="10"/>
        <v>191249.61700329836</v>
      </c>
      <c r="L106" s="17">
        <f t="shared" si="10"/>
        <v>197520.70105783589</v>
      </c>
      <c r="M106" s="17">
        <f t="shared" si="10"/>
        <v>180749.10668779322</v>
      </c>
      <c r="N106" s="17">
        <f t="shared" si="10"/>
        <v>174778.69391872524</v>
      </c>
      <c r="O106" s="17">
        <f t="shared" si="10"/>
        <v>180824</v>
      </c>
      <c r="P106" s="17">
        <f>SUM(P49,P74,P92)</f>
        <v>176731</v>
      </c>
      <c r="Q106" s="14">
        <f>SUM(Q49,Q74,Q92)</f>
        <v>182263</v>
      </c>
      <c r="R106" s="14">
        <f>SUM(R49,R74,R92)</f>
        <v>171897</v>
      </c>
      <c r="S106" s="97">
        <v>168394</v>
      </c>
      <c r="T106" s="14">
        <v>169043</v>
      </c>
    </row>
    <row r="107" spans="1:24" x14ac:dyDescent="0.15">
      <c r="A107" s="12"/>
      <c r="B107" s="12"/>
      <c r="C107" s="12"/>
      <c r="D107" s="12"/>
      <c r="E107" s="13">
        <f t="shared" si="4"/>
        <v>0</v>
      </c>
      <c r="F107" s="13">
        <f t="shared" si="5"/>
        <v>0</v>
      </c>
      <c r="G107" s="13">
        <f t="shared" si="6"/>
        <v>0</v>
      </c>
      <c r="H107" s="13">
        <f t="shared" si="7"/>
        <v>0</v>
      </c>
      <c r="I107" s="12"/>
      <c r="J107" s="12"/>
      <c r="K107" s="14"/>
      <c r="L107" s="14"/>
      <c r="M107" s="12"/>
      <c r="N107" s="12"/>
      <c r="O107" s="12"/>
      <c r="P107" s="12"/>
      <c r="Q107" s="12"/>
      <c r="R107" s="12"/>
    </row>
    <row r="108" spans="1:24" x14ac:dyDescent="0.15">
      <c r="A108" s="12"/>
      <c r="B108" s="12"/>
      <c r="C108" s="12"/>
      <c r="D108" s="12"/>
      <c r="E108" s="13">
        <f t="shared" si="4"/>
        <v>0</v>
      </c>
      <c r="F108" s="13">
        <f t="shared" si="5"/>
        <v>0</v>
      </c>
      <c r="G108" s="13">
        <f t="shared" si="6"/>
        <v>0</v>
      </c>
      <c r="H108" s="13">
        <v>0</v>
      </c>
      <c r="I108" s="12"/>
      <c r="J108" s="12"/>
      <c r="K108" s="12"/>
      <c r="L108" s="12" t="s">
        <v>36</v>
      </c>
      <c r="M108" s="12" t="s">
        <v>36</v>
      </c>
      <c r="N108" s="12" t="s">
        <v>36</v>
      </c>
      <c r="O108" s="12"/>
      <c r="P108" s="12"/>
      <c r="Q108" s="12"/>
      <c r="R108" s="12"/>
    </row>
    <row r="109" spans="1:24" x14ac:dyDescent="0.15">
      <c r="A109" s="12"/>
      <c r="B109" s="12"/>
      <c r="C109" s="12"/>
      <c r="D109" s="12"/>
      <c r="E109" s="13">
        <f t="shared" si="4"/>
        <v>0</v>
      </c>
      <c r="F109" s="13">
        <f t="shared" si="5"/>
        <v>0</v>
      </c>
      <c r="G109" s="13">
        <f t="shared" si="6"/>
        <v>0</v>
      </c>
      <c r="H109" s="13">
        <f t="shared" si="7"/>
        <v>0</v>
      </c>
      <c r="I109" s="12"/>
      <c r="J109" s="12"/>
      <c r="K109" s="12"/>
      <c r="L109" s="12"/>
      <c r="M109" s="12"/>
      <c r="N109" s="12"/>
      <c r="O109" s="12"/>
      <c r="P109" s="12"/>
      <c r="Q109" s="12"/>
      <c r="R109" s="12"/>
    </row>
    <row r="110" spans="1:24" x14ac:dyDescent="0.15">
      <c r="A110" s="18" t="s">
        <v>53</v>
      </c>
      <c r="B110" s="12"/>
      <c r="C110" s="12"/>
      <c r="D110" s="12">
        <v>4970</v>
      </c>
      <c r="E110" s="13"/>
      <c r="F110" s="13"/>
      <c r="G110" s="13"/>
      <c r="H110" s="13"/>
      <c r="I110" s="12">
        <v>4489</v>
      </c>
      <c r="J110" s="12">
        <v>4476</v>
      </c>
      <c r="K110" s="12">
        <v>4823</v>
      </c>
      <c r="L110" s="12">
        <v>5062</v>
      </c>
      <c r="M110" s="12">
        <v>4897</v>
      </c>
      <c r="N110" s="12">
        <v>4549</v>
      </c>
      <c r="O110" s="12">
        <v>5146</v>
      </c>
      <c r="P110" s="12">
        <v>4738</v>
      </c>
      <c r="Q110" s="12">
        <v>4381</v>
      </c>
      <c r="R110" s="12">
        <v>3889</v>
      </c>
      <c r="S110" s="12">
        <v>3855</v>
      </c>
      <c r="T110" s="12">
        <v>3827</v>
      </c>
    </row>
    <row r="112" spans="1:24" x14ac:dyDescent="0.15">
      <c r="P112" s="7">
        <f>1-(P103/I103)</f>
        <v>7.680628474164819E-2</v>
      </c>
      <c r="Q112" s="8">
        <f>1-(Q103/I103)</f>
        <v>4.8088927571600326E-2</v>
      </c>
      <c r="R112" s="8">
        <f>1-(R103/I103)</f>
        <v>8.2039775522465441E-2</v>
      </c>
      <c r="S112" s="8">
        <f>1-(S103/J103)</f>
        <v>0.10351684548320583</v>
      </c>
      <c r="T112" s="8">
        <f>1-(T103/K103)</f>
        <v>8.9111123728655595E-2</v>
      </c>
    </row>
    <row r="118" spans="1:17" x14ac:dyDescent="0.15">
      <c r="A118" s="10"/>
      <c r="B118" s="10"/>
      <c r="C118" s="10"/>
    </row>
    <row r="119" spans="1:17" x14ac:dyDescent="0.15">
      <c r="A119" s="10"/>
      <c r="B119" s="10"/>
      <c r="C119" s="10"/>
    </row>
    <row r="120" spans="1:17" x14ac:dyDescent="0.15">
      <c r="A120" s="10"/>
      <c r="B120" s="10"/>
      <c r="C120" s="10"/>
      <c r="Q120" s="9"/>
    </row>
    <row r="121" spans="1:17" x14ac:dyDescent="0.15">
      <c r="A121" s="10"/>
      <c r="B121" s="10"/>
      <c r="C121" s="10"/>
      <c r="Q121" s="9"/>
    </row>
    <row r="122" spans="1:17" x14ac:dyDescent="0.15">
      <c r="A122" s="10"/>
      <c r="B122" s="10"/>
      <c r="C122" s="10"/>
      <c r="Q122" s="9"/>
    </row>
    <row r="123" spans="1:17" x14ac:dyDescent="0.15">
      <c r="A123" s="10"/>
      <c r="B123" s="10"/>
      <c r="C123" s="10"/>
      <c r="Q123" s="9"/>
    </row>
    <row r="124" spans="1:17" x14ac:dyDescent="0.15">
      <c r="A124" s="10"/>
      <c r="B124" s="10"/>
      <c r="C124" s="10"/>
    </row>
    <row r="125" spans="1:17" x14ac:dyDescent="0.15">
      <c r="A125" s="10"/>
      <c r="B125" s="10"/>
      <c r="C125" s="10"/>
      <c r="Q125" s="9"/>
    </row>
    <row r="126" spans="1:17" x14ac:dyDescent="0.15">
      <c r="A126" s="10"/>
      <c r="B126" s="10"/>
      <c r="C126" s="10"/>
      <c r="Q126" s="9"/>
    </row>
    <row r="127" spans="1:17" x14ac:dyDescent="0.15">
      <c r="A127" s="10"/>
      <c r="B127" s="10"/>
      <c r="C127" s="10"/>
    </row>
    <row r="128" spans="1:17" x14ac:dyDescent="0.15">
      <c r="A128" s="10"/>
      <c r="B128" s="10"/>
      <c r="C128" s="10"/>
      <c r="Q128" s="9"/>
    </row>
    <row r="129" spans="1:17" x14ac:dyDescent="0.15">
      <c r="A129" s="10"/>
      <c r="B129" s="10"/>
      <c r="C129" s="10"/>
      <c r="Q129" s="9"/>
    </row>
    <row r="130" spans="1:17" x14ac:dyDescent="0.15">
      <c r="A130" s="10"/>
      <c r="B130" s="10"/>
      <c r="C130" s="10"/>
    </row>
    <row r="131" spans="1:17" x14ac:dyDescent="0.15">
      <c r="A131" s="10"/>
      <c r="B131" s="10"/>
      <c r="C131" s="10"/>
    </row>
  </sheetData>
  <mergeCells count="2">
    <mergeCell ref="A1:AH1"/>
    <mergeCell ref="A2:AH2"/>
  </mergeCells>
  <phoneticPr fontId="13" type="noConversion"/>
  <pageMargins left="0.75" right="0.75" top="1" bottom="1" header="0.5" footer="0.5"/>
  <pageSetup orientation="portrait" horizontalDpi="4294967292" verticalDpi="4294967292"/>
  <ignoredErrors>
    <ignoredError sqref="Q92:R92 D92 I92:P92"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12"/>
  <sheetViews>
    <sheetView topLeftCell="A12" workbookViewId="0">
      <selection activeCell="B12" sqref="B12"/>
    </sheetView>
  </sheetViews>
  <sheetFormatPr baseColWidth="10" defaultColWidth="11.5" defaultRowHeight="14" x14ac:dyDescent="0.2"/>
  <cols>
    <col min="1" max="1" width="11.5" style="19"/>
    <col min="2" max="2" width="160.33203125" style="19" customWidth="1"/>
    <col min="3" max="16384" width="11.5" style="19"/>
  </cols>
  <sheetData>
    <row r="5" spans="2:8" x14ac:dyDescent="0.2">
      <c r="B5" s="19" t="s">
        <v>59</v>
      </c>
    </row>
    <row r="6" spans="2:8" x14ac:dyDescent="0.2">
      <c r="B6" s="21"/>
      <c r="C6" s="20"/>
      <c r="D6" s="20"/>
      <c r="E6" s="20"/>
      <c r="F6" s="20"/>
      <c r="G6" s="20"/>
      <c r="H6" s="20"/>
    </row>
    <row r="7" spans="2:8" x14ac:dyDescent="0.2">
      <c r="B7" s="21" t="s">
        <v>58</v>
      </c>
      <c r="C7" s="20"/>
      <c r="D7" s="20"/>
      <c r="E7" s="20"/>
      <c r="F7" s="20"/>
      <c r="G7" s="20"/>
      <c r="H7" s="20"/>
    </row>
    <row r="8" spans="2:8" x14ac:dyDescent="0.2">
      <c r="B8" s="21" t="s">
        <v>57</v>
      </c>
      <c r="C8" s="20"/>
      <c r="D8" s="20"/>
      <c r="E8" s="20"/>
      <c r="F8" s="20"/>
      <c r="G8" s="20"/>
      <c r="H8" s="20"/>
    </row>
    <row r="9" spans="2:8" x14ac:dyDescent="0.2">
      <c r="B9" s="21" t="s">
        <v>56</v>
      </c>
      <c r="C9" s="20"/>
      <c r="D9" s="20"/>
      <c r="E9" s="20"/>
      <c r="F9" s="20"/>
      <c r="G9" s="20"/>
      <c r="H9" s="20"/>
    </row>
    <row r="10" spans="2:8" x14ac:dyDescent="0.2">
      <c r="B10" s="21" t="s">
        <v>55</v>
      </c>
      <c r="C10" s="20"/>
      <c r="D10" s="20"/>
      <c r="E10" s="20"/>
      <c r="F10" s="20"/>
      <c r="G10" s="20"/>
      <c r="H10" s="20"/>
    </row>
    <row r="11" spans="2:8" x14ac:dyDescent="0.2">
      <c r="B11" s="21"/>
      <c r="C11" s="20"/>
      <c r="D11" s="20"/>
      <c r="E11" s="20"/>
      <c r="F11" s="20"/>
      <c r="G11" s="20"/>
      <c r="H11" s="20"/>
    </row>
    <row r="12" spans="2:8" ht="28" x14ac:dyDescent="0.2">
      <c r="B12" s="21" t="s">
        <v>54</v>
      </c>
      <c r="C12" s="20"/>
      <c r="D12" s="20"/>
      <c r="E12" s="20"/>
      <c r="F12" s="20"/>
      <c r="G12" s="20"/>
      <c r="H12" s="20"/>
    </row>
  </sheetData>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88"/>
  <sheetViews>
    <sheetView topLeftCell="V56" workbookViewId="0">
      <selection activeCell="AF95" sqref="AF95"/>
    </sheetView>
  </sheetViews>
  <sheetFormatPr baseColWidth="10" defaultColWidth="8.83203125" defaultRowHeight="13" x14ac:dyDescent="0.15"/>
  <cols>
    <col min="1" max="16384" width="8.83203125" style="22"/>
  </cols>
  <sheetData>
    <row r="1" spans="1:97" x14ac:dyDescent="0.1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c r="AG1" s="25"/>
    </row>
    <row r="2" spans="1:97" x14ac:dyDescent="0.15">
      <c r="A2" s="94" t="s">
        <v>76</v>
      </c>
      <c r="B2" s="94"/>
      <c r="C2" s="94"/>
      <c r="D2" s="94"/>
      <c r="E2" s="94"/>
      <c r="F2" s="94"/>
      <c r="G2" s="94"/>
      <c r="H2" s="94"/>
      <c r="I2" s="94"/>
      <c r="J2" s="95"/>
    </row>
    <row r="3" spans="1:97" x14ac:dyDescent="0.15">
      <c r="D3" s="25"/>
      <c r="E3" s="25"/>
      <c r="F3" s="25"/>
      <c r="G3" s="26"/>
      <c r="H3" s="25"/>
      <c r="I3" s="25"/>
      <c r="J3" s="25"/>
      <c r="K3" s="25"/>
      <c r="L3" s="25"/>
      <c r="M3" s="25"/>
      <c r="N3" s="25"/>
      <c r="O3" s="25"/>
      <c r="P3" s="25"/>
      <c r="Q3" s="25"/>
      <c r="R3" s="25"/>
      <c r="S3" s="25"/>
      <c r="T3" s="25"/>
      <c r="U3" s="25"/>
      <c r="V3" s="25"/>
      <c r="W3" s="25"/>
      <c r="X3" s="25"/>
      <c r="Y3" s="25"/>
      <c r="Z3" s="25"/>
      <c r="AA3" s="25"/>
      <c r="AB3" s="25"/>
      <c r="AC3" s="25"/>
      <c r="AD3" s="25"/>
      <c r="AE3" s="25"/>
      <c r="AG3" s="25"/>
    </row>
    <row r="4" spans="1:97" x14ac:dyDescent="0.15">
      <c r="A4" s="94" t="s">
        <v>75</v>
      </c>
      <c r="B4" s="94"/>
      <c r="C4" s="94"/>
      <c r="D4" s="92"/>
      <c r="E4" s="92"/>
      <c r="F4" s="92"/>
      <c r="G4" s="93"/>
      <c r="H4" s="92"/>
      <c r="I4" s="92"/>
      <c r="J4" s="25"/>
      <c r="K4" s="25"/>
      <c r="L4" s="25"/>
      <c r="M4" s="25"/>
      <c r="N4" s="25"/>
      <c r="O4" s="25"/>
      <c r="P4" s="25"/>
      <c r="Q4" s="25"/>
      <c r="R4" s="25"/>
      <c r="S4" s="25"/>
      <c r="T4" s="25"/>
      <c r="U4" s="25"/>
      <c r="V4" s="25"/>
      <c r="W4" s="25"/>
      <c r="X4" s="25"/>
      <c r="Y4" s="25"/>
      <c r="Z4" s="25"/>
      <c r="AA4" s="25"/>
      <c r="AB4" s="25"/>
      <c r="AC4" s="25"/>
      <c r="AD4" s="25"/>
      <c r="AE4" s="25"/>
      <c r="AG4" s="25"/>
    </row>
    <row r="5" spans="1:97" x14ac:dyDescent="0.15">
      <c r="D5" s="25"/>
      <c r="E5" s="25"/>
      <c r="F5" s="25"/>
      <c r="G5" s="26"/>
      <c r="H5" s="25"/>
      <c r="I5" s="25"/>
      <c r="J5" s="25"/>
      <c r="K5" s="25"/>
      <c r="L5" s="25"/>
      <c r="M5" s="25"/>
      <c r="N5" s="25"/>
      <c r="O5" s="25"/>
      <c r="P5" s="25"/>
      <c r="Q5" s="25"/>
      <c r="R5" s="25"/>
      <c r="S5" s="25"/>
      <c r="T5" s="25"/>
      <c r="U5" s="25"/>
      <c r="V5" s="25"/>
      <c r="W5" s="25"/>
      <c r="X5" s="25"/>
      <c r="Y5" s="25"/>
      <c r="Z5" s="25"/>
      <c r="AA5" s="25"/>
      <c r="AB5" s="25"/>
      <c r="AC5" s="25"/>
      <c r="AD5" s="25"/>
      <c r="AE5" s="25"/>
      <c r="AG5" s="25"/>
    </row>
    <row r="6" spans="1:97" x14ac:dyDescent="0.15">
      <c r="A6" s="91" t="s">
        <v>74</v>
      </c>
      <c r="B6" s="91"/>
      <c r="C6" s="91"/>
      <c r="D6" s="89"/>
      <c r="E6" s="89"/>
      <c r="F6" s="89"/>
      <c r="G6" s="90"/>
      <c r="H6" s="89"/>
      <c r="I6" s="89"/>
      <c r="J6" s="89"/>
      <c r="K6" s="89"/>
      <c r="L6" s="89"/>
      <c r="M6" s="89"/>
      <c r="N6" s="89"/>
      <c r="O6" s="89"/>
      <c r="P6" s="89"/>
      <c r="Q6" s="89"/>
      <c r="R6" s="89"/>
      <c r="S6" s="89"/>
      <c r="T6" s="88"/>
      <c r="U6" s="88"/>
      <c r="V6" s="88"/>
      <c r="W6" s="88"/>
      <c r="X6" s="88"/>
      <c r="Y6" s="88"/>
      <c r="Z6" s="88"/>
      <c r="AA6" s="88"/>
      <c r="AB6" s="88"/>
      <c r="AC6" s="88"/>
      <c r="AD6" s="88"/>
      <c r="AE6" s="88"/>
      <c r="AG6" s="25"/>
    </row>
    <row r="7" spans="1:97" x14ac:dyDescent="0.15">
      <c r="D7" s="25"/>
      <c r="E7" s="25"/>
      <c r="F7" s="25"/>
      <c r="G7" s="26"/>
      <c r="H7" s="25"/>
      <c r="I7" s="25"/>
      <c r="J7" s="25"/>
      <c r="K7" s="25"/>
      <c r="L7" s="25"/>
      <c r="M7" s="25"/>
      <c r="N7" s="25"/>
      <c r="O7" s="25"/>
      <c r="P7" s="25"/>
      <c r="Q7" s="25"/>
      <c r="R7" s="25"/>
      <c r="S7" s="25"/>
      <c r="T7" s="25"/>
      <c r="U7" s="25"/>
      <c r="V7" s="25"/>
      <c r="W7" s="25"/>
      <c r="X7" s="25"/>
      <c r="Y7" s="25"/>
      <c r="Z7" s="25"/>
      <c r="AA7" s="25"/>
      <c r="AB7" s="25"/>
      <c r="AC7" s="25"/>
      <c r="AD7" s="25"/>
      <c r="AE7" s="25"/>
      <c r="AG7" s="25"/>
    </row>
    <row r="8" spans="1:97" ht="16" x14ac:dyDescent="0.2">
      <c r="A8" s="87" t="s">
        <v>73</v>
      </c>
      <c r="D8" s="86" t="s">
        <v>72</v>
      </c>
      <c r="E8" s="65" t="s">
        <v>0</v>
      </c>
      <c r="F8" s="35"/>
      <c r="G8" s="36"/>
      <c r="H8" s="64" t="s">
        <v>0</v>
      </c>
      <c r="I8" s="35"/>
      <c r="J8" s="35"/>
      <c r="K8" s="35"/>
      <c r="L8" s="35"/>
      <c r="M8" s="35"/>
      <c r="N8" s="35"/>
      <c r="O8" s="35"/>
      <c r="P8" s="35"/>
      <c r="Q8" s="35"/>
      <c r="R8" s="35"/>
      <c r="S8" s="35"/>
      <c r="T8" s="35"/>
      <c r="U8" s="64" t="s">
        <v>0</v>
      </c>
      <c r="V8" s="35"/>
      <c r="W8" s="35"/>
      <c r="X8" s="35"/>
      <c r="Y8" s="35"/>
      <c r="Z8" s="35"/>
      <c r="AA8" s="35"/>
      <c r="AB8" s="35"/>
      <c r="AC8" s="35"/>
      <c r="AD8" s="35"/>
      <c r="AE8" s="35"/>
      <c r="AF8" s="32"/>
      <c r="AG8" s="35"/>
      <c r="AH8" s="64" t="s">
        <v>0</v>
      </c>
      <c r="AI8" s="32"/>
      <c r="AJ8" s="32"/>
      <c r="AK8" s="32"/>
      <c r="AL8" s="32"/>
      <c r="AM8" s="32"/>
      <c r="AN8" s="32"/>
      <c r="AO8" s="32"/>
      <c r="AP8" s="32"/>
      <c r="AQ8" s="32"/>
      <c r="AR8" s="32"/>
      <c r="AS8" s="32"/>
      <c r="AU8" s="60" t="s">
        <v>0</v>
      </c>
      <c r="BH8" s="60" t="s">
        <v>0</v>
      </c>
      <c r="BU8" s="60" t="s">
        <v>0</v>
      </c>
      <c r="CH8" s="60" t="s">
        <v>0</v>
      </c>
    </row>
    <row r="9" spans="1:97" ht="16" x14ac:dyDescent="0.2">
      <c r="A9" s="43" t="s">
        <v>1</v>
      </c>
      <c r="B9" s="29"/>
      <c r="D9" s="86" t="s">
        <v>71</v>
      </c>
      <c r="E9" s="65">
        <v>2000</v>
      </c>
      <c r="F9" s="65">
        <v>2005</v>
      </c>
      <c r="G9" s="85">
        <v>37256</v>
      </c>
      <c r="H9" s="85">
        <v>37287</v>
      </c>
      <c r="I9" s="85">
        <v>37315</v>
      </c>
      <c r="J9" s="85">
        <v>37346</v>
      </c>
      <c r="K9" s="85">
        <v>37376</v>
      </c>
      <c r="L9" s="85">
        <v>37407</v>
      </c>
      <c r="M9" s="85">
        <v>37437</v>
      </c>
      <c r="N9" s="85">
        <v>37468</v>
      </c>
      <c r="O9" s="85">
        <v>37499</v>
      </c>
      <c r="P9" s="85">
        <v>37529</v>
      </c>
      <c r="Q9" s="85">
        <v>37560</v>
      </c>
      <c r="R9" s="85">
        <v>37590</v>
      </c>
      <c r="S9" s="84">
        <v>2006</v>
      </c>
      <c r="T9" s="85">
        <v>37621</v>
      </c>
      <c r="U9" s="85">
        <v>37652</v>
      </c>
      <c r="V9" s="85">
        <v>37680</v>
      </c>
      <c r="W9" s="85">
        <v>37711</v>
      </c>
      <c r="X9" s="85">
        <v>37741</v>
      </c>
      <c r="Y9" s="85">
        <v>37772</v>
      </c>
      <c r="Z9" s="85">
        <v>37802</v>
      </c>
      <c r="AA9" s="85">
        <v>37833</v>
      </c>
      <c r="AB9" s="85">
        <v>37864</v>
      </c>
      <c r="AC9" s="85">
        <v>37894</v>
      </c>
      <c r="AD9" s="85">
        <v>37925</v>
      </c>
      <c r="AE9" s="85">
        <v>37955</v>
      </c>
      <c r="AF9" s="84">
        <v>2007</v>
      </c>
      <c r="AG9" s="85">
        <v>37986</v>
      </c>
      <c r="AH9" s="85">
        <v>38017</v>
      </c>
      <c r="AI9" s="85">
        <v>38046</v>
      </c>
      <c r="AJ9" s="85">
        <v>38077</v>
      </c>
      <c r="AK9" s="85">
        <v>38107</v>
      </c>
      <c r="AL9" s="85">
        <v>38138</v>
      </c>
      <c r="AM9" s="85">
        <v>38168</v>
      </c>
      <c r="AN9" s="85">
        <v>38199</v>
      </c>
      <c r="AO9" s="85">
        <v>38230</v>
      </c>
      <c r="AP9" s="85">
        <v>38260</v>
      </c>
      <c r="AQ9" s="85">
        <v>38291</v>
      </c>
      <c r="AR9" s="85">
        <v>38321</v>
      </c>
      <c r="AS9" s="84">
        <v>2008</v>
      </c>
      <c r="AT9" s="81">
        <v>38352</v>
      </c>
      <c r="AU9" s="81">
        <v>38383</v>
      </c>
      <c r="AV9" s="81">
        <v>38411</v>
      </c>
      <c r="AW9" s="81">
        <v>38442</v>
      </c>
      <c r="AX9" s="81">
        <v>38472</v>
      </c>
      <c r="AY9" s="81">
        <v>38503</v>
      </c>
      <c r="AZ9" s="81">
        <v>38533</v>
      </c>
      <c r="BA9" s="81">
        <v>38564</v>
      </c>
      <c r="BB9" s="81">
        <v>38595</v>
      </c>
      <c r="BC9" s="81">
        <v>38625</v>
      </c>
      <c r="BD9" s="81">
        <v>38656</v>
      </c>
      <c r="BE9" s="81">
        <v>38686</v>
      </c>
      <c r="BF9" s="83">
        <v>2009</v>
      </c>
      <c r="BG9" s="81">
        <v>38717</v>
      </c>
      <c r="BH9" s="81">
        <v>38748</v>
      </c>
      <c r="BI9" s="81">
        <v>38776</v>
      </c>
      <c r="BJ9" s="81">
        <v>38807</v>
      </c>
      <c r="BK9" s="81">
        <v>38837</v>
      </c>
      <c r="BL9" s="81">
        <v>38868</v>
      </c>
      <c r="BM9" s="81">
        <v>38898</v>
      </c>
      <c r="BN9" s="81">
        <v>38929</v>
      </c>
      <c r="BO9" s="81">
        <v>38960</v>
      </c>
      <c r="BP9" s="81">
        <v>38990</v>
      </c>
      <c r="BQ9" s="81">
        <v>39021</v>
      </c>
      <c r="BR9" s="81">
        <v>39051</v>
      </c>
      <c r="BS9" s="82">
        <v>2010</v>
      </c>
      <c r="BT9" s="81">
        <v>39083</v>
      </c>
      <c r="BU9" s="81">
        <v>39114</v>
      </c>
      <c r="BV9" s="81">
        <v>39142</v>
      </c>
      <c r="BW9" s="81">
        <v>39173</v>
      </c>
      <c r="BX9" s="81">
        <v>39203</v>
      </c>
      <c r="BY9" s="81">
        <v>39234</v>
      </c>
      <c r="BZ9" s="81">
        <v>39264</v>
      </c>
      <c r="CA9" s="81">
        <v>39295</v>
      </c>
      <c r="CB9" s="81">
        <v>39326</v>
      </c>
      <c r="CC9" s="81">
        <v>39356</v>
      </c>
      <c r="CD9" s="81">
        <v>39387</v>
      </c>
      <c r="CE9" s="81">
        <v>39417</v>
      </c>
      <c r="CF9" s="80">
        <v>2011</v>
      </c>
      <c r="CG9" s="81">
        <v>39447</v>
      </c>
      <c r="CH9" s="81">
        <v>39478</v>
      </c>
      <c r="CI9" s="81">
        <v>39507</v>
      </c>
      <c r="CJ9" s="81">
        <v>39538</v>
      </c>
      <c r="CK9" s="81">
        <v>39568</v>
      </c>
      <c r="CL9" s="81">
        <v>39599</v>
      </c>
      <c r="CM9" s="81">
        <v>39629</v>
      </c>
      <c r="CN9" s="81">
        <v>39660</v>
      </c>
      <c r="CO9" s="81">
        <v>39691</v>
      </c>
      <c r="CP9" s="81">
        <v>39721</v>
      </c>
      <c r="CQ9" s="81">
        <v>39752</v>
      </c>
      <c r="CR9" s="81">
        <v>39782</v>
      </c>
      <c r="CS9" s="80">
        <v>2012</v>
      </c>
    </row>
    <row r="10" spans="1:97" x14ac:dyDescent="0.15">
      <c r="D10" s="25"/>
      <c r="E10" s="35"/>
      <c r="F10" s="35"/>
      <c r="G10" s="36"/>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25"/>
      <c r="AU10" s="25"/>
      <c r="AV10" s="25"/>
      <c r="AW10" s="25"/>
      <c r="AX10" s="25"/>
      <c r="AY10" s="25"/>
      <c r="AZ10" s="25"/>
      <c r="BA10" s="25"/>
      <c r="BB10" s="25"/>
      <c r="BC10" s="25"/>
      <c r="BD10" s="25"/>
      <c r="BE10" s="25"/>
      <c r="BF10" s="79"/>
      <c r="BG10" s="25"/>
      <c r="BH10" s="25"/>
      <c r="BI10" s="25"/>
      <c r="BJ10" s="25"/>
      <c r="BK10" s="25"/>
      <c r="BL10" s="25"/>
      <c r="BM10" s="25"/>
      <c r="BN10" s="25"/>
      <c r="BO10" s="25"/>
      <c r="BP10" s="25"/>
      <c r="BQ10" s="25"/>
      <c r="BR10" s="25"/>
      <c r="BS10" s="78"/>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row>
    <row r="11" spans="1:97" x14ac:dyDescent="0.15">
      <c r="A11" s="22" t="s">
        <v>2</v>
      </c>
      <c r="B11" s="22" t="s">
        <v>70</v>
      </c>
      <c r="D11" s="25">
        <v>12</v>
      </c>
      <c r="E11" s="47">
        <f>87641+2887</f>
        <v>90528</v>
      </c>
      <c r="F11" s="47">
        <f>78325+4349</f>
        <v>82674</v>
      </c>
      <c r="G11" s="36">
        <v>9665.7965899999999</v>
      </c>
      <c r="H11" s="36">
        <v>10140.04547103</v>
      </c>
      <c r="I11" s="36">
        <v>8906.7953800000014</v>
      </c>
      <c r="J11" s="36">
        <v>7232.7587999999996</v>
      </c>
      <c r="K11" s="36">
        <v>5578.6638999999996</v>
      </c>
      <c r="L11" s="36">
        <v>4737.9513400000005</v>
      </c>
      <c r="M11" s="36">
        <v>4054.1741099999999</v>
      </c>
      <c r="N11" s="36">
        <v>4160.5490600000003</v>
      </c>
      <c r="O11" s="36">
        <v>4646.9015499999996</v>
      </c>
      <c r="P11" s="36">
        <v>6315.6944800000001</v>
      </c>
      <c r="Q11" s="36">
        <v>9457.6439378650011</v>
      </c>
      <c r="R11" s="36">
        <v>10407.717730000002</v>
      </c>
      <c r="S11" s="47">
        <f t="shared" ref="S11:S24" si="0">SUM(G11:R11)</f>
        <v>85304.692348894998</v>
      </c>
      <c r="T11" s="36">
        <v>11660.534686059998</v>
      </c>
      <c r="U11" s="36">
        <v>8489.1735644700002</v>
      </c>
      <c r="V11" s="36">
        <v>8064.7653200000004</v>
      </c>
      <c r="W11" s="36">
        <v>7039.7345100000011</v>
      </c>
      <c r="X11" s="36">
        <v>5817.8639300000004</v>
      </c>
      <c r="Y11" s="36">
        <v>4727.8909100000001</v>
      </c>
      <c r="Z11" s="36">
        <v>3911.8050600000001</v>
      </c>
      <c r="AA11" s="36">
        <v>3934.4766</v>
      </c>
      <c r="AB11" s="36">
        <v>4537.2908200000002</v>
      </c>
      <c r="AC11" s="36">
        <v>6521.5512200000003</v>
      </c>
      <c r="AD11" s="36">
        <v>8768.7108399999997</v>
      </c>
      <c r="AE11" s="36">
        <v>10909.61672</v>
      </c>
      <c r="AF11" s="47">
        <f t="shared" ref="AF11:AF24" si="1">SUM(T11:AE11)</f>
        <v>84383.414180530017</v>
      </c>
      <c r="AG11" s="36">
        <v>12379.898324615</v>
      </c>
      <c r="AH11" s="36">
        <v>9028.3584699999992</v>
      </c>
      <c r="AI11" s="36">
        <v>9429.7480200000009</v>
      </c>
      <c r="AJ11" s="36">
        <v>8187.6301000000003</v>
      </c>
      <c r="AK11" s="36">
        <v>6101.8484200000003</v>
      </c>
      <c r="AL11" s="36">
        <v>5633.5456800000002</v>
      </c>
      <c r="AM11" s="36">
        <v>4359.2017100000003</v>
      </c>
      <c r="AN11" s="36">
        <v>3764.9090800000004</v>
      </c>
      <c r="AO11" s="36">
        <v>4542.0021999999999</v>
      </c>
      <c r="AP11" s="36">
        <v>6919.2306900000012</v>
      </c>
      <c r="AQ11" s="36">
        <v>7565.9123900000013</v>
      </c>
      <c r="AR11" s="36">
        <v>12368.984797500001</v>
      </c>
      <c r="AS11" s="47">
        <f t="shared" ref="AS11:AS24" si="2">SUM(AG11:AR11)</f>
        <v>90281.269882115012</v>
      </c>
      <c r="AT11" s="26">
        <v>11142.5718</v>
      </c>
      <c r="AU11" s="26">
        <v>9405.8907300000028</v>
      </c>
      <c r="AV11" s="26">
        <v>9968.7214600000007</v>
      </c>
      <c r="AW11" s="26">
        <v>7450.7945100000006</v>
      </c>
      <c r="AX11" s="26">
        <v>6320.7694900000006</v>
      </c>
      <c r="AY11" s="26">
        <v>4812.3057699999999</v>
      </c>
      <c r="AZ11" s="26">
        <v>4403.6383500000002</v>
      </c>
      <c r="BA11" s="26">
        <v>3813.11904</v>
      </c>
      <c r="BB11" s="26">
        <v>4163.2367599999998</v>
      </c>
      <c r="BC11" s="26">
        <v>6160.2663700000003</v>
      </c>
      <c r="BD11" s="26">
        <v>7504.34825</v>
      </c>
      <c r="BE11" s="26">
        <v>11030.698743729999</v>
      </c>
      <c r="BF11" s="56">
        <f t="shared" ref="BF11:BF24" si="3">SUM(AT11:BE11)</f>
        <v>86176.361273729999</v>
      </c>
      <c r="BG11" s="26">
        <v>8410.5774500000007</v>
      </c>
      <c r="BH11" s="26">
        <v>7552.5371299999997</v>
      </c>
      <c r="BI11" s="26">
        <v>7896.1990999999998</v>
      </c>
      <c r="BJ11" s="26">
        <v>7040.9097199999997</v>
      </c>
      <c r="BK11" s="26">
        <v>6558.2620400000005</v>
      </c>
      <c r="BL11" s="26">
        <v>5432.8693499999999</v>
      </c>
      <c r="BM11" s="26">
        <v>4409.9886999999999</v>
      </c>
      <c r="BN11" s="26">
        <v>3931.5201300000003</v>
      </c>
      <c r="BO11" s="26">
        <v>4244.3894900000005</v>
      </c>
      <c r="BP11" s="26">
        <v>6006.2400799999996</v>
      </c>
      <c r="BQ11" s="26">
        <v>8579.0450412500013</v>
      </c>
      <c r="BR11" s="26">
        <v>9401.9171499999993</v>
      </c>
      <c r="BS11" s="55">
        <f t="shared" ref="BS11:BS24" si="4">SUM(BG11:BR11)</f>
        <v>79464.455381249994</v>
      </c>
      <c r="BT11" s="39">
        <v>9764.6196300000011</v>
      </c>
      <c r="BU11" s="39">
        <v>9783.1597389050003</v>
      </c>
      <c r="BV11" s="39">
        <v>8669.8245599999991</v>
      </c>
      <c r="BW11" s="39">
        <v>7808.2164499999999</v>
      </c>
      <c r="BX11" s="39">
        <v>5980.1377700000003</v>
      </c>
      <c r="BY11" s="39">
        <v>4764.4963299999999</v>
      </c>
      <c r="BZ11" s="39">
        <v>4257.5644900000007</v>
      </c>
      <c r="CA11" s="39">
        <v>3899.61555</v>
      </c>
      <c r="CB11" s="39">
        <v>3968.2520300000006</v>
      </c>
      <c r="CC11" s="39">
        <v>6189.4832500000002</v>
      </c>
      <c r="CD11" s="39">
        <v>8392.9935185000013</v>
      </c>
      <c r="CE11" s="39">
        <v>9624.7063999999991</v>
      </c>
      <c r="CF11" s="54">
        <f t="shared" ref="CF11:CF24" si="5">SUM(BT11:CE11)</f>
        <v>83103.069717405</v>
      </c>
      <c r="CG11" s="39">
        <v>0</v>
      </c>
      <c r="CH11" s="39">
        <v>0</v>
      </c>
      <c r="CI11" s="39">
        <v>0</v>
      </c>
      <c r="CJ11" s="39">
        <v>0</v>
      </c>
      <c r="CK11" s="39">
        <v>0</v>
      </c>
      <c r="CL11" s="39">
        <v>0</v>
      </c>
      <c r="CM11" s="39">
        <v>0</v>
      </c>
      <c r="CN11" s="39">
        <v>0</v>
      </c>
      <c r="CO11" s="39">
        <v>0</v>
      </c>
      <c r="CP11" s="39">
        <v>0</v>
      </c>
      <c r="CQ11" s="39">
        <v>0</v>
      </c>
      <c r="CR11" s="39">
        <v>0</v>
      </c>
      <c r="CS11" s="54">
        <f t="shared" ref="CS11:CS24" si="6">SUM(CG11:CR11)</f>
        <v>0</v>
      </c>
    </row>
    <row r="12" spans="1:97" x14ac:dyDescent="0.15">
      <c r="B12" s="22" t="s">
        <v>3</v>
      </c>
      <c r="D12" s="25">
        <v>12</v>
      </c>
      <c r="E12" s="47">
        <f t="shared" ref="E12:R12" si="7">E13+E14+E19+E20</f>
        <v>4483</v>
      </c>
      <c r="F12" s="47">
        <f t="shared" si="7"/>
        <v>5079.4459700000007</v>
      </c>
      <c r="G12" s="52">
        <f t="shared" si="7"/>
        <v>584.55809547333342</v>
      </c>
      <c r="H12" s="52">
        <f t="shared" si="7"/>
        <v>595.73747295333328</v>
      </c>
      <c r="I12" s="52">
        <f t="shared" si="7"/>
        <v>487.30539426333337</v>
      </c>
      <c r="J12" s="52">
        <f t="shared" si="7"/>
        <v>416.30634164333333</v>
      </c>
      <c r="K12" s="52">
        <f t="shared" si="7"/>
        <v>308.94184901333335</v>
      </c>
      <c r="L12" s="52">
        <f t="shared" si="7"/>
        <v>232.55833726333336</v>
      </c>
      <c r="M12" s="52">
        <f t="shared" si="7"/>
        <v>224.92463967400005</v>
      </c>
      <c r="N12" s="52">
        <f t="shared" si="7"/>
        <v>231.98686759800006</v>
      </c>
      <c r="O12" s="52">
        <f t="shared" si="7"/>
        <v>243.40772122100003</v>
      </c>
      <c r="P12" s="52">
        <f t="shared" si="7"/>
        <v>383.31085864400006</v>
      </c>
      <c r="Q12" s="52">
        <f t="shared" si="7"/>
        <v>518.27390597200008</v>
      </c>
      <c r="R12" s="52">
        <f t="shared" si="7"/>
        <v>540.34744853200004</v>
      </c>
      <c r="S12" s="47">
        <f t="shared" si="0"/>
        <v>4767.6589322509999</v>
      </c>
      <c r="T12" s="52">
        <f t="shared" ref="T12:AE12" si="8">T13+T14+T19+T20</f>
        <v>571.57124150000004</v>
      </c>
      <c r="U12" s="52">
        <f t="shared" si="8"/>
        <v>500.29080250000004</v>
      </c>
      <c r="V12" s="52">
        <f t="shared" si="8"/>
        <v>485.66252569300008</v>
      </c>
      <c r="W12" s="52">
        <f t="shared" si="8"/>
        <v>427.31582398500007</v>
      </c>
      <c r="X12" s="52">
        <f t="shared" si="8"/>
        <v>354.51182640400009</v>
      </c>
      <c r="Y12" s="52">
        <f t="shared" si="8"/>
        <v>269.00668192700005</v>
      </c>
      <c r="Z12" s="52">
        <f t="shared" si="8"/>
        <v>225.44195692733334</v>
      </c>
      <c r="AA12" s="52">
        <f t="shared" si="8"/>
        <v>225.20672415333334</v>
      </c>
      <c r="AB12" s="52">
        <f t="shared" si="8"/>
        <v>243.52797401333333</v>
      </c>
      <c r="AC12" s="52">
        <f t="shared" si="8"/>
        <v>335.95480447333335</v>
      </c>
      <c r="AD12" s="52">
        <f t="shared" si="8"/>
        <v>445.51824149333339</v>
      </c>
      <c r="AE12" s="52">
        <f t="shared" si="8"/>
        <v>589.04718687333332</v>
      </c>
      <c r="AF12" s="47">
        <f t="shared" si="1"/>
        <v>4673.0557899429996</v>
      </c>
      <c r="AG12" s="52">
        <f t="shared" ref="AG12:AR12" si="9">AG13+AG14+AG19+AG20</f>
        <v>526.07462250933338</v>
      </c>
      <c r="AH12" s="52">
        <f t="shared" si="9"/>
        <v>509.86818148933344</v>
      </c>
      <c r="AI12" s="52">
        <f t="shared" si="9"/>
        <v>458.23726212133334</v>
      </c>
      <c r="AJ12" s="52">
        <f t="shared" si="9"/>
        <v>442.69124485333339</v>
      </c>
      <c r="AK12" s="52">
        <f t="shared" si="9"/>
        <v>385.47680844233332</v>
      </c>
      <c r="AL12" s="52">
        <f t="shared" si="9"/>
        <v>289.77004223333336</v>
      </c>
      <c r="AM12" s="52">
        <f t="shared" si="9"/>
        <v>248.60818023333331</v>
      </c>
      <c r="AN12" s="52">
        <f t="shared" si="9"/>
        <v>234.65142843333334</v>
      </c>
      <c r="AO12" s="52">
        <f t="shared" si="9"/>
        <v>238.19687363333335</v>
      </c>
      <c r="AP12" s="52">
        <f t="shared" si="9"/>
        <v>373.46233253333332</v>
      </c>
      <c r="AQ12" s="52">
        <f t="shared" si="9"/>
        <v>452.58764083333335</v>
      </c>
      <c r="AR12" s="52">
        <f t="shared" si="9"/>
        <v>510.59142153333346</v>
      </c>
      <c r="AS12" s="47">
        <f t="shared" si="2"/>
        <v>4670.2160388490001</v>
      </c>
      <c r="AT12" s="39">
        <f t="shared" ref="AT12:BE12" si="10">AT13+AT14+AT19+AT20</f>
        <v>506.6096203333334</v>
      </c>
      <c r="AU12" s="39">
        <f t="shared" si="10"/>
        <v>533.84603433333336</v>
      </c>
      <c r="AV12" s="39">
        <f t="shared" si="10"/>
        <v>473.6099343333334</v>
      </c>
      <c r="AW12" s="39">
        <f t="shared" si="10"/>
        <v>401.19602373333339</v>
      </c>
      <c r="AX12" s="39">
        <f t="shared" si="10"/>
        <v>307.75012283333331</v>
      </c>
      <c r="AY12" s="39">
        <f t="shared" si="10"/>
        <v>222.78533833333336</v>
      </c>
      <c r="AZ12" s="39">
        <f t="shared" si="10"/>
        <v>219.68394333333336</v>
      </c>
      <c r="BA12" s="39">
        <f t="shared" si="10"/>
        <v>226.66722033333335</v>
      </c>
      <c r="BB12" s="39">
        <f t="shared" si="10"/>
        <v>214.91828233333337</v>
      </c>
      <c r="BC12" s="39">
        <f t="shared" si="10"/>
        <v>341.43411833333334</v>
      </c>
      <c r="BD12" s="39">
        <f t="shared" si="10"/>
        <v>432.70366733333333</v>
      </c>
      <c r="BE12" s="39">
        <f t="shared" si="10"/>
        <v>505.5466613333333</v>
      </c>
      <c r="BF12" s="56">
        <f t="shared" si="3"/>
        <v>4386.750966900001</v>
      </c>
      <c r="BG12" s="39">
        <f t="shared" ref="BG12:BR12" si="11">BG13+BG14+BG19+BG20</f>
        <v>510.79927033333337</v>
      </c>
      <c r="BH12" s="39">
        <f t="shared" si="11"/>
        <v>492.02700333333337</v>
      </c>
      <c r="BI12" s="39">
        <f t="shared" si="11"/>
        <v>451.59503633333338</v>
      </c>
      <c r="BJ12" s="39">
        <f t="shared" si="11"/>
        <v>396.36069333333336</v>
      </c>
      <c r="BK12" s="39">
        <f t="shared" si="11"/>
        <v>324.70239533333336</v>
      </c>
      <c r="BL12" s="39">
        <f t="shared" si="11"/>
        <v>273.67667433333332</v>
      </c>
      <c r="BM12" s="39">
        <f t="shared" si="11"/>
        <v>236.88469633333335</v>
      </c>
      <c r="BN12" s="39">
        <f t="shared" si="11"/>
        <v>238.48414133333335</v>
      </c>
      <c r="BO12" s="39">
        <f t="shared" si="11"/>
        <v>238.15265833333333</v>
      </c>
      <c r="BP12" s="39">
        <f t="shared" si="11"/>
        <v>330.67277833333338</v>
      </c>
      <c r="BQ12" s="39">
        <f t="shared" si="11"/>
        <v>413.07713333333334</v>
      </c>
      <c r="BR12" s="39">
        <f t="shared" si="11"/>
        <v>429.67183633333332</v>
      </c>
      <c r="BS12" s="55">
        <f t="shared" si="4"/>
        <v>4336.1043170000003</v>
      </c>
      <c r="BT12" s="39">
        <v>428.82125833333333</v>
      </c>
      <c r="BU12" s="39">
        <v>451.92546533333336</v>
      </c>
      <c r="BV12" s="39">
        <v>406.40162433333342</v>
      </c>
      <c r="BW12" s="39">
        <v>385.37327033333338</v>
      </c>
      <c r="BX12" s="39">
        <v>332.26958833333333</v>
      </c>
      <c r="BY12" s="39">
        <v>243.21133133333336</v>
      </c>
      <c r="BZ12" s="39">
        <v>220.93293333333335</v>
      </c>
      <c r="CA12" s="39">
        <v>219.65337733333334</v>
      </c>
      <c r="CB12" s="39">
        <v>253.90468833333335</v>
      </c>
      <c r="CC12" s="39">
        <v>373.3144563333334</v>
      </c>
      <c r="CD12" s="39">
        <v>503.57041133333337</v>
      </c>
      <c r="CE12" s="39">
        <v>568.82776733333333</v>
      </c>
      <c r="CF12" s="54">
        <f t="shared" si="5"/>
        <v>4388.2061720000011</v>
      </c>
      <c r="CG12" s="38">
        <f t="shared" ref="CG12:CR12" si="12">CG13+CG14+CG19+CG20</f>
        <v>2.3333333333333335</v>
      </c>
      <c r="CH12" s="38">
        <f t="shared" si="12"/>
        <v>2.3333333333333335</v>
      </c>
      <c r="CI12" s="38">
        <f t="shared" si="12"/>
        <v>2.3333333333333335</v>
      </c>
      <c r="CJ12" s="38">
        <f t="shared" si="12"/>
        <v>2.3333333333333335</v>
      </c>
      <c r="CK12" s="38">
        <f t="shared" si="12"/>
        <v>2.3333333333333335</v>
      </c>
      <c r="CL12" s="38">
        <f t="shared" si="12"/>
        <v>2.3333333333333335</v>
      </c>
      <c r="CM12" s="38">
        <f t="shared" si="12"/>
        <v>2.3333333333333335</v>
      </c>
      <c r="CN12" s="38">
        <f t="shared" si="12"/>
        <v>2.3333333333333335</v>
      </c>
      <c r="CO12" s="38">
        <f t="shared" si="12"/>
        <v>2.3333333333333335</v>
      </c>
      <c r="CP12" s="38">
        <f t="shared" si="12"/>
        <v>2.3333333333333335</v>
      </c>
      <c r="CQ12" s="38">
        <f t="shared" si="12"/>
        <v>2.3333333333333335</v>
      </c>
      <c r="CR12" s="38">
        <f t="shared" si="12"/>
        <v>2.3333333333333335</v>
      </c>
      <c r="CS12" s="54">
        <f t="shared" si="6"/>
        <v>27.999999999999996</v>
      </c>
    </row>
    <row r="13" spans="1:97" x14ac:dyDescent="0.15">
      <c r="B13" s="22" t="s">
        <v>4</v>
      </c>
      <c r="D13" s="25"/>
      <c r="E13" s="47">
        <v>2157</v>
      </c>
      <c r="F13" s="47">
        <v>2604</v>
      </c>
      <c r="G13" s="36">
        <v>375.3575945</v>
      </c>
      <c r="H13" s="36">
        <v>402.33425019999999</v>
      </c>
      <c r="I13" s="36">
        <v>291.1886854</v>
      </c>
      <c r="J13" s="36">
        <v>231.59947790000001</v>
      </c>
      <c r="K13" s="36">
        <v>122.15786220000001</v>
      </c>
      <c r="L13" s="36">
        <v>51.083427499999999</v>
      </c>
      <c r="M13" s="36">
        <v>42.239471600000002</v>
      </c>
      <c r="N13" s="36">
        <v>44.553054299999999</v>
      </c>
      <c r="O13" s="36">
        <v>58.455788600000012</v>
      </c>
      <c r="P13" s="36">
        <v>188.12160900000001</v>
      </c>
      <c r="Q13" s="36">
        <v>320.99469870000007</v>
      </c>
      <c r="R13" s="36">
        <v>323.56545740000001</v>
      </c>
      <c r="S13" s="47">
        <f t="shared" si="0"/>
        <v>2451.6513772999997</v>
      </c>
      <c r="T13" s="36">
        <v>367.68642440000002</v>
      </c>
      <c r="U13" s="36">
        <v>292.40299880000003</v>
      </c>
      <c r="V13" s="36">
        <v>285.26230690000006</v>
      </c>
      <c r="W13" s="36">
        <v>218.26237270000004</v>
      </c>
      <c r="X13" s="36">
        <v>150.99119160000004</v>
      </c>
      <c r="Y13" s="36">
        <v>76.405461299999999</v>
      </c>
      <c r="Z13" s="36">
        <v>40.086571200000002</v>
      </c>
      <c r="AA13" s="36">
        <v>43.094950700000005</v>
      </c>
      <c r="AB13" s="36">
        <v>70.857363400000011</v>
      </c>
      <c r="AC13" s="36">
        <v>156.87793970000001</v>
      </c>
      <c r="AD13" s="36">
        <v>257.47986820000006</v>
      </c>
      <c r="AE13" s="36">
        <v>309.07796389999999</v>
      </c>
      <c r="AF13" s="47">
        <f t="shared" si="1"/>
        <v>2268.4854128000006</v>
      </c>
      <c r="AG13" s="36">
        <v>300.52575519999999</v>
      </c>
      <c r="AH13" s="36">
        <v>275.88924300000002</v>
      </c>
      <c r="AI13" s="36">
        <v>241.36858229999999</v>
      </c>
      <c r="AJ13" s="36">
        <v>228.10668000000004</v>
      </c>
      <c r="AK13" s="36">
        <v>169.43049999999999</v>
      </c>
      <c r="AL13" s="36">
        <v>97.951961699999998</v>
      </c>
      <c r="AM13" s="36">
        <v>56.112693899999996</v>
      </c>
      <c r="AN13" s="36">
        <v>50.12312810000001</v>
      </c>
      <c r="AO13" s="36">
        <v>50.204602299999998</v>
      </c>
      <c r="AP13" s="36">
        <v>177.47125520000003</v>
      </c>
      <c r="AQ13" s="36">
        <v>268.47303550000004</v>
      </c>
      <c r="AR13" s="36">
        <v>284.57293820000007</v>
      </c>
      <c r="AS13" s="47">
        <f t="shared" si="2"/>
        <v>2200.2303754000004</v>
      </c>
      <c r="AT13" s="26">
        <v>294.95136000000002</v>
      </c>
      <c r="AU13" s="26">
        <v>301.28062999999997</v>
      </c>
      <c r="AV13" s="26">
        <v>268.33259000000004</v>
      </c>
      <c r="AW13" s="26">
        <v>189.97359240000003</v>
      </c>
      <c r="AX13" s="26">
        <v>116.77608550000002</v>
      </c>
      <c r="AY13" s="26">
        <v>48.273200000000003</v>
      </c>
      <c r="AZ13" s="26">
        <v>53.042549999999999</v>
      </c>
      <c r="BA13" s="26">
        <v>36.305030000000009</v>
      </c>
      <c r="BB13" s="26">
        <v>40.784530000000011</v>
      </c>
      <c r="BC13" s="26">
        <v>148.92492999999999</v>
      </c>
      <c r="BD13" s="26">
        <v>233.17115000000001</v>
      </c>
      <c r="BE13" s="26">
        <v>297.67595</v>
      </c>
      <c r="BF13" s="56">
        <f t="shared" si="3"/>
        <v>2029.4915979</v>
      </c>
      <c r="BG13" s="26">
        <v>285.73939999999999</v>
      </c>
      <c r="BH13" s="26">
        <v>278.58274000000006</v>
      </c>
      <c r="BI13" s="26">
        <v>249.45018000000002</v>
      </c>
      <c r="BJ13" s="26">
        <v>195.34308999999999</v>
      </c>
      <c r="BK13" s="26">
        <v>113.29973</v>
      </c>
      <c r="BL13" s="26">
        <v>81.131649999999993</v>
      </c>
      <c r="BM13" s="26">
        <v>43.825319999999998</v>
      </c>
      <c r="BN13" s="26">
        <v>48.684260000000002</v>
      </c>
      <c r="BO13" s="26">
        <v>45.469560000000001</v>
      </c>
      <c r="BP13" s="26">
        <v>126.98065</v>
      </c>
      <c r="BQ13" s="26">
        <v>186.90055000000001</v>
      </c>
      <c r="BR13" s="26">
        <v>203.07945000000001</v>
      </c>
      <c r="BS13" s="55">
        <f t="shared" si="4"/>
        <v>1858.48658</v>
      </c>
      <c r="BT13" s="26">
        <v>199.16910999999999</v>
      </c>
      <c r="BU13" s="26">
        <v>223.75366</v>
      </c>
      <c r="BV13" s="26">
        <v>178.84272000000004</v>
      </c>
      <c r="BW13" s="26">
        <v>155.89714000000001</v>
      </c>
      <c r="BX13" s="26">
        <v>127.68683</v>
      </c>
      <c r="BY13" s="26">
        <v>44.0045</v>
      </c>
      <c r="BZ13" s="26">
        <v>35.38805</v>
      </c>
      <c r="CA13" s="26">
        <v>29.807120000000001</v>
      </c>
      <c r="CB13" s="26">
        <v>40.136319999999998</v>
      </c>
      <c r="CC13" s="26">
        <v>146.35317000000003</v>
      </c>
      <c r="CD13" s="26">
        <v>251.08388000000002</v>
      </c>
      <c r="CE13" s="26">
        <v>298.25565</v>
      </c>
      <c r="CF13" s="54">
        <f t="shared" si="5"/>
        <v>1730.3781500000005</v>
      </c>
      <c r="CG13" s="38">
        <v>0</v>
      </c>
      <c r="CH13" s="38">
        <v>0</v>
      </c>
      <c r="CI13" s="38">
        <v>0</v>
      </c>
      <c r="CJ13" s="38">
        <v>0</v>
      </c>
      <c r="CK13" s="38">
        <v>0</v>
      </c>
      <c r="CL13" s="38">
        <v>0</v>
      </c>
      <c r="CM13" s="38">
        <v>0</v>
      </c>
      <c r="CN13" s="38">
        <v>0</v>
      </c>
      <c r="CO13" s="38">
        <v>0</v>
      </c>
      <c r="CP13" s="38">
        <v>0</v>
      </c>
      <c r="CQ13" s="38">
        <v>0</v>
      </c>
      <c r="CR13" s="38">
        <v>0</v>
      </c>
      <c r="CS13" s="54">
        <f t="shared" si="6"/>
        <v>0</v>
      </c>
    </row>
    <row r="14" spans="1:97" x14ac:dyDescent="0.15">
      <c r="B14" s="22" t="s">
        <v>5</v>
      </c>
      <c r="D14" s="25"/>
      <c r="E14" s="47">
        <f t="shared" ref="E14:R14" si="13">SUM(E15:E18)</f>
        <v>2326</v>
      </c>
      <c r="F14" s="47">
        <f t="shared" si="13"/>
        <v>2475.4459700000002</v>
      </c>
      <c r="G14" s="52">
        <f t="shared" si="13"/>
        <v>209.20050097333336</v>
      </c>
      <c r="H14" s="52">
        <f t="shared" si="13"/>
        <v>193.40322275333335</v>
      </c>
      <c r="I14" s="52">
        <f t="shared" si="13"/>
        <v>196.11670886333334</v>
      </c>
      <c r="J14" s="52">
        <f t="shared" si="13"/>
        <v>184.70686374333334</v>
      </c>
      <c r="K14" s="52">
        <f t="shared" si="13"/>
        <v>186.78398681333337</v>
      </c>
      <c r="L14" s="52">
        <f t="shared" si="13"/>
        <v>181.47490976333336</v>
      </c>
      <c r="M14" s="52">
        <f t="shared" si="13"/>
        <v>182.68516807400005</v>
      </c>
      <c r="N14" s="52">
        <f t="shared" si="13"/>
        <v>187.43381329800005</v>
      </c>
      <c r="O14" s="52">
        <f t="shared" si="13"/>
        <v>184.95193262100003</v>
      </c>
      <c r="P14" s="52">
        <f t="shared" si="13"/>
        <v>195.18924964400003</v>
      </c>
      <c r="Q14" s="52">
        <f t="shared" si="13"/>
        <v>197.27920727200004</v>
      </c>
      <c r="R14" s="52">
        <f t="shared" si="13"/>
        <v>216.78199113200003</v>
      </c>
      <c r="S14" s="47">
        <f t="shared" si="0"/>
        <v>2316.0075549510002</v>
      </c>
      <c r="T14" s="52">
        <f t="shared" ref="T14:AE14" si="14">SUM(T15:T18)</f>
        <v>203.88481710000005</v>
      </c>
      <c r="U14" s="52">
        <f t="shared" si="14"/>
        <v>207.88780370000003</v>
      </c>
      <c r="V14" s="52">
        <f t="shared" si="14"/>
        <v>200.40021879300002</v>
      </c>
      <c r="W14" s="52">
        <f t="shared" si="14"/>
        <v>209.05345128500005</v>
      </c>
      <c r="X14" s="52">
        <f t="shared" si="14"/>
        <v>203.52063480400003</v>
      </c>
      <c r="Y14" s="52">
        <f t="shared" si="14"/>
        <v>192.60122062700003</v>
      </c>
      <c r="Z14" s="52">
        <f t="shared" si="14"/>
        <v>185.35538572733333</v>
      </c>
      <c r="AA14" s="52">
        <f t="shared" si="14"/>
        <v>182.11177345333334</v>
      </c>
      <c r="AB14" s="52">
        <f t="shared" si="14"/>
        <v>172.67061061333334</v>
      </c>
      <c r="AC14" s="52">
        <f t="shared" si="14"/>
        <v>179.07686477333334</v>
      </c>
      <c r="AD14" s="52">
        <f t="shared" si="14"/>
        <v>188.03837329333334</v>
      </c>
      <c r="AE14" s="52">
        <f t="shared" si="14"/>
        <v>279.96922297333333</v>
      </c>
      <c r="AF14" s="47">
        <f t="shared" si="1"/>
        <v>2404.5703771429999</v>
      </c>
      <c r="AG14" s="52">
        <f t="shared" ref="AG14:AR14" si="15">SUM(AG15:AG18)</f>
        <v>225.54886730933336</v>
      </c>
      <c r="AH14" s="52">
        <f t="shared" si="15"/>
        <v>233.97893848933339</v>
      </c>
      <c r="AI14" s="52">
        <f t="shared" si="15"/>
        <v>216.86867982133336</v>
      </c>
      <c r="AJ14" s="52">
        <f t="shared" si="15"/>
        <v>214.58456485333335</v>
      </c>
      <c r="AK14" s="52">
        <f t="shared" si="15"/>
        <v>216.04630844233336</v>
      </c>
      <c r="AL14" s="52">
        <f t="shared" si="15"/>
        <v>191.81808053333336</v>
      </c>
      <c r="AM14" s="52">
        <f t="shared" si="15"/>
        <v>192.49548633333333</v>
      </c>
      <c r="AN14" s="52">
        <f t="shared" si="15"/>
        <v>184.52830033333333</v>
      </c>
      <c r="AO14" s="52">
        <f t="shared" si="15"/>
        <v>187.99227133333335</v>
      </c>
      <c r="AP14" s="52">
        <f t="shared" si="15"/>
        <v>195.99107733333332</v>
      </c>
      <c r="AQ14" s="52">
        <f t="shared" si="15"/>
        <v>184.11460533333334</v>
      </c>
      <c r="AR14" s="52">
        <f t="shared" si="15"/>
        <v>226.01848333333336</v>
      </c>
      <c r="AS14" s="47">
        <f t="shared" si="2"/>
        <v>2469.9856634489997</v>
      </c>
      <c r="AT14" s="39">
        <f t="shared" ref="AT14:BE14" si="16">SUM(AT15:AT18)</f>
        <v>211.65826033333335</v>
      </c>
      <c r="AU14" s="39">
        <f t="shared" si="16"/>
        <v>232.56540433333333</v>
      </c>
      <c r="AV14" s="39">
        <f t="shared" si="16"/>
        <v>205.27734433333336</v>
      </c>
      <c r="AW14" s="39">
        <f t="shared" si="16"/>
        <v>211.22243133333336</v>
      </c>
      <c r="AX14" s="39">
        <f t="shared" si="16"/>
        <v>190.97403733333331</v>
      </c>
      <c r="AY14" s="39">
        <f t="shared" si="16"/>
        <v>174.51213833333335</v>
      </c>
      <c r="AZ14" s="39">
        <f t="shared" si="16"/>
        <v>166.64139333333335</v>
      </c>
      <c r="BA14" s="39">
        <f t="shared" si="16"/>
        <v>190.36219033333333</v>
      </c>
      <c r="BB14" s="39">
        <f t="shared" si="16"/>
        <v>174.13375233333335</v>
      </c>
      <c r="BC14" s="39">
        <f t="shared" si="16"/>
        <v>192.50918833333336</v>
      </c>
      <c r="BD14" s="39">
        <f t="shared" si="16"/>
        <v>199.53251733333335</v>
      </c>
      <c r="BE14" s="39">
        <f t="shared" si="16"/>
        <v>207.87071133333333</v>
      </c>
      <c r="BF14" s="56">
        <f t="shared" si="3"/>
        <v>2357.2593690000003</v>
      </c>
      <c r="BG14" s="39">
        <f t="shared" ref="BG14:BR14" si="17">SUM(BG15:BG18)</f>
        <v>225.05987033333338</v>
      </c>
      <c r="BH14" s="39">
        <f t="shared" si="17"/>
        <v>213.44426333333334</v>
      </c>
      <c r="BI14" s="39">
        <f t="shared" si="17"/>
        <v>202.14485633333337</v>
      </c>
      <c r="BJ14" s="39">
        <f t="shared" si="17"/>
        <v>201.01760333333337</v>
      </c>
      <c r="BK14" s="39">
        <f t="shared" si="17"/>
        <v>211.40266533333337</v>
      </c>
      <c r="BL14" s="39">
        <f t="shared" si="17"/>
        <v>192.54502433333334</v>
      </c>
      <c r="BM14" s="39">
        <f t="shared" si="17"/>
        <v>193.05937633333335</v>
      </c>
      <c r="BN14" s="39">
        <f t="shared" si="17"/>
        <v>189.79988133333336</v>
      </c>
      <c r="BO14" s="39">
        <f t="shared" si="17"/>
        <v>192.68309833333333</v>
      </c>
      <c r="BP14" s="39">
        <f t="shared" si="17"/>
        <v>203.69212833333339</v>
      </c>
      <c r="BQ14" s="39">
        <f t="shared" si="17"/>
        <v>226.17658333333333</v>
      </c>
      <c r="BR14" s="39">
        <f t="shared" si="17"/>
        <v>226.59238633333334</v>
      </c>
      <c r="BS14" s="55">
        <f t="shared" si="4"/>
        <v>2477.617737</v>
      </c>
      <c r="BT14" s="39">
        <v>229.65214833333334</v>
      </c>
      <c r="BU14" s="39">
        <v>228.17180533333337</v>
      </c>
      <c r="BV14" s="39">
        <v>227.55890433333334</v>
      </c>
      <c r="BW14" s="39">
        <v>229.47613033333334</v>
      </c>
      <c r="BX14" s="39">
        <v>204.58275833333335</v>
      </c>
      <c r="BY14" s="39">
        <v>199.20683133333335</v>
      </c>
      <c r="BZ14" s="39">
        <v>185.54488333333336</v>
      </c>
      <c r="CA14" s="39">
        <v>189.84625733333334</v>
      </c>
      <c r="CB14" s="39">
        <v>213.76836833333337</v>
      </c>
      <c r="CC14" s="39">
        <v>226.96128633333336</v>
      </c>
      <c r="CD14" s="39">
        <v>252.48653133333332</v>
      </c>
      <c r="CE14" s="39">
        <v>270.57211733333332</v>
      </c>
      <c r="CF14" s="54">
        <f t="shared" si="5"/>
        <v>2657.8280220000006</v>
      </c>
      <c r="CG14" s="38">
        <f t="shared" ref="CG14:CR14" si="18">SUM(CG15:CG18)</f>
        <v>2.3333333333333335</v>
      </c>
      <c r="CH14" s="38">
        <f t="shared" si="18"/>
        <v>2.3333333333333335</v>
      </c>
      <c r="CI14" s="38">
        <f t="shared" si="18"/>
        <v>2.3333333333333335</v>
      </c>
      <c r="CJ14" s="38">
        <f t="shared" si="18"/>
        <v>2.3333333333333335</v>
      </c>
      <c r="CK14" s="38">
        <f t="shared" si="18"/>
        <v>2.3333333333333335</v>
      </c>
      <c r="CL14" s="38">
        <f t="shared" si="18"/>
        <v>2.3333333333333335</v>
      </c>
      <c r="CM14" s="38">
        <f t="shared" si="18"/>
        <v>2.3333333333333335</v>
      </c>
      <c r="CN14" s="38">
        <f t="shared" si="18"/>
        <v>2.3333333333333335</v>
      </c>
      <c r="CO14" s="38">
        <f t="shared" si="18"/>
        <v>2.3333333333333335</v>
      </c>
      <c r="CP14" s="38">
        <f t="shared" si="18"/>
        <v>2.3333333333333335</v>
      </c>
      <c r="CQ14" s="38">
        <f t="shared" si="18"/>
        <v>2.3333333333333335</v>
      </c>
      <c r="CR14" s="38">
        <f t="shared" si="18"/>
        <v>2.3333333333333335</v>
      </c>
      <c r="CS14" s="54">
        <f t="shared" si="6"/>
        <v>27.999999999999996</v>
      </c>
    </row>
    <row r="15" spans="1:97" x14ac:dyDescent="0.15">
      <c r="B15" s="22" t="s">
        <v>6</v>
      </c>
      <c r="D15" s="25"/>
      <c r="E15" s="47">
        <v>182</v>
      </c>
      <c r="F15" s="47">
        <f>36555*0.00527</f>
        <v>192.64485000000002</v>
      </c>
      <c r="G15" s="36">
        <v>34.485731139999999</v>
      </c>
      <c r="H15" s="36">
        <v>18.534568919999998</v>
      </c>
      <c r="I15" s="36">
        <v>16.616252029999998</v>
      </c>
      <c r="J15" s="36">
        <v>6.7663269100000001</v>
      </c>
      <c r="K15" s="36">
        <v>8.3438539799999987</v>
      </c>
      <c r="L15" s="36">
        <v>5.01840493</v>
      </c>
      <c r="M15" s="36">
        <v>5.0395755740000006</v>
      </c>
      <c r="N15" s="36">
        <v>8.3542537980000002</v>
      </c>
      <c r="O15" s="36">
        <v>6.7682731209999991</v>
      </c>
      <c r="P15" s="36">
        <v>16.670418143999999</v>
      </c>
      <c r="Q15" s="36">
        <v>18.770915771999999</v>
      </c>
      <c r="R15" s="36">
        <v>34.664276632000004</v>
      </c>
      <c r="S15" s="47">
        <f t="shared" si="0"/>
        <v>180.03285095099997</v>
      </c>
      <c r="T15" s="36">
        <v>31.058112600000005</v>
      </c>
      <c r="U15" s="36">
        <v>36.0608182</v>
      </c>
      <c r="V15" s="36">
        <v>23.782276292999999</v>
      </c>
      <c r="W15" s="36">
        <v>31.287175785000002</v>
      </c>
      <c r="X15" s="36">
        <v>26.155406304000007</v>
      </c>
      <c r="Y15" s="36">
        <v>16.351651127</v>
      </c>
      <c r="Z15" s="36">
        <v>7.1010203940000007</v>
      </c>
      <c r="AA15" s="36">
        <v>6.7343011200000014</v>
      </c>
      <c r="AB15" s="36">
        <v>7.4094302800000005</v>
      </c>
      <c r="AC15" s="36">
        <v>10.925616440000001</v>
      </c>
      <c r="AD15" s="36">
        <v>21.331104960000001</v>
      </c>
      <c r="AE15" s="36">
        <v>74.473700640000004</v>
      </c>
      <c r="AF15" s="47">
        <f t="shared" si="1"/>
        <v>292.67061414299997</v>
      </c>
      <c r="AG15" s="36">
        <v>30.423650976000005</v>
      </c>
      <c r="AH15" s="36">
        <v>34.344183156</v>
      </c>
      <c r="AI15" s="36">
        <v>27.063528488000006</v>
      </c>
      <c r="AJ15" s="36">
        <v>24.367826520000005</v>
      </c>
      <c r="AK15" s="36">
        <v>21.953485108999999</v>
      </c>
      <c r="AL15" s="36">
        <v>11.719215199999999</v>
      </c>
      <c r="AM15" s="36">
        <v>12.477779</v>
      </c>
      <c r="AN15" s="36">
        <v>7.8992030000000009</v>
      </c>
      <c r="AO15" s="36">
        <v>14.597899999999999</v>
      </c>
      <c r="AP15" s="36">
        <v>5.458139000000001</v>
      </c>
      <c r="AQ15" s="36">
        <v>11.616661000000002</v>
      </c>
      <c r="AR15" s="36">
        <v>13.677231000000003</v>
      </c>
      <c r="AS15" s="47">
        <f t="shared" si="2"/>
        <v>215.59880244900003</v>
      </c>
      <c r="AT15" s="26">
        <v>20.518744999999999</v>
      </c>
      <c r="AU15" s="26">
        <v>19.734041999999999</v>
      </c>
      <c r="AV15" s="26">
        <v>15.827918000000002</v>
      </c>
      <c r="AW15" s="26">
        <v>10.519447000000001</v>
      </c>
      <c r="AX15" s="26">
        <v>7.0828800000000003</v>
      </c>
      <c r="AY15" s="26">
        <v>1.720655</v>
      </c>
      <c r="AZ15" s="26">
        <v>2.0647859999999998</v>
      </c>
      <c r="BA15" s="26">
        <v>2.3298670000000001</v>
      </c>
      <c r="BB15" s="26">
        <v>5.2362720000000014</v>
      </c>
      <c r="BC15" s="26">
        <v>12.040896000000002</v>
      </c>
      <c r="BD15" s="26">
        <v>20.101887999999999</v>
      </c>
      <c r="BE15" s="26">
        <v>21.272355000000001</v>
      </c>
      <c r="BF15" s="56">
        <f t="shared" si="3"/>
        <v>138.44975099999999</v>
      </c>
      <c r="BG15" s="26">
        <v>11.752627</v>
      </c>
      <c r="BH15" s="26">
        <v>14.947827999999999</v>
      </c>
      <c r="BI15" s="26">
        <v>12.637460000000001</v>
      </c>
      <c r="BJ15" s="26">
        <v>11.822718</v>
      </c>
      <c r="BK15" s="26">
        <v>8.9231640000000016</v>
      </c>
      <c r="BL15" s="26">
        <v>3.5841269999999996</v>
      </c>
      <c r="BM15" s="26">
        <v>3.173594</v>
      </c>
      <c r="BN15" s="26">
        <v>4.7914839999999996</v>
      </c>
      <c r="BO15" s="26">
        <v>7.9703480000000013</v>
      </c>
      <c r="BP15" s="26">
        <v>12.698065</v>
      </c>
      <c r="BQ15" s="26">
        <v>24.293119000000001</v>
      </c>
      <c r="BR15" s="26">
        <v>21.494748999999999</v>
      </c>
      <c r="BS15" s="55">
        <f t="shared" si="4"/>
        <v>138.08928299999999</v>
      </c>
      <c r="BT15" s="39">
        <v>23.064155</v>
      </c>
      <c r="BU15" s="39">
        <v>25.683872000000004</v>
      </c>
      <c r="BV15" s="39">
        <v>16.447670000000002</v>
      </c>
      <c r="BW15" s="39">
        <v>15.953871000000001</v>
      </c>
      <c r="BX15" s="39">
        <v>11.587676</v>
      </c>
      <c r="BY15" s="39">
        <v>1.8002320000000003</v>
      </c>
      <c r="BZ15" s="39">
        <v>0.71303100000000008</v>
      </c>
      <c r="CA15" s="39">
        <v>3.3258969999999999</v>
      </c>
      <c r="CB15" s="39">
        <v>12.326003000000002</v>
      </c>
      <c r="CC15" s="39">
        <v>23.459932000000002</v>
      </c>
      <c r="CD15" s="39">
        <v>30.163899000000001</v>
      </c>
      <c r="CE15" s="39">
        <v>29.650074</v>
      </c>
      <c r="CF15" s="54">
        <f t="shared" si="5"/>
        <v>194.17631200000002</v>
      </c>
      <c r="CG15" s="38">
        <v>0</v>
      </c>
      <c r="CH15" s="38">
        <v>0</v>
      </c>
      <c r="CI15" s="38">
        <v>0</v>
      </c>
      <c r="CJ15" s="38">
        <v>0</v>
      </c>
      <c r="CK15" s="38">
        <v>0</v>
      </c>
      <c r="CL15" s="38">
        <v>0</v>
      </c>
      <c r="CM15" s="38">
        <v>0</v>
      </c>
      <c r="CN15" s="38">
        <v>0</v>
      </c>
      <c r="CO15" s="38">
        <v>0</v>
      </c>
      <c r="CP15" s="38">
        <v>0</v>
      </c>
      <c r="CQ15" s="38">
        <v>0</v>
      </c>
      <c r="CR15" s="38">
        <v>0</v>
      </c>
      <c r="CS15" s="54">
        <f t="shared" si="6"/>
        <v>0</v>
      </c>
    </row>
    <row r="16" spans="1:97" x14ac:dyDescent="0.15">
      <c r="B16" s="22" t="s">
        <v>7</v>
      </c>
      <c r="D16" s="25"/>
      <c r="E16" s="47">
        <v>1825</v>
      </c>
      <c r="F16" s="47">
        <f>369090*0.00527</f>
        <v>1945.1043000000002</v>
      </c>
      <c r="G16" s="36">
        <v>147.84326250000001</v>
      </c>
      <c r="H16" s="36">
        <v>147.84326250000001</v>
      </c>
      <c r="I16" s="36">
        <v>147.84326250000001</v>
      </c>
      <c r="J16" s="36">
        <v>147.84326250000001</v>
      </c>
      <c r="K16" s="36">
        <v>147.84326250000001</v>
      </c>
      <c r="L16" s="36">
        <v>147.84326250000001</v>
      </c>
      <c r="M16" s="36">
        <v>149.71323416666669</v>
      </c>
      <c r="N16" s="36">
        <v>149.71323416666669</v>
      </c>
      <c r="O16" s="36">
        <v>149.71323416666669</v>
      </c>
      <c r="P16" s="36">
        <v>149.71323416666669</v>
      </c>
      <c r="Q16" s="36">
        <v>149.71323416666669</v>
      </c>
      <c r="R16" s="36">
        <v>149.71323416666669</v>
      </c>
      <c r="S16" s="47">
        <f t="shared" si="0"/>
        <v>1785.3389800000007</v>
      </c>
      <c r="T16" s="36">
        <v>149.71323416666669</v>
      </c>
      <c r="U16" s="36">
        <v>149.71323416666669</v>
      </c>
      <c r="V16" s="36">
        <v>149.71323416666669</v>
      </c>
      <c r="W16" s="36">
        <v>149.71323416666669</v>
      </c>
      <c r="X16" s="36">
        <v>149.71323416666669</v>
      </c>
      <c r="Y16" s="36">
        <v>149.71323416666669</v>
      </c>
      <c r="Z16" s="36">
        <v>153.40442999999999</v>
      </c>
      <c r="AA16" s="36">
        <v>149.34653</v>
      </c>
      <c r="AB16" s="36">
        <v>139.70242999999999</v>
      </c>
      <c r="AC16" s="36">
        <v>142.53769</v>
      </c>
      <c r="AD16" s="36">
        <v>141.08843999999999</v>
      </c>
      <c r="AE16" s="36">
        <v>176.63459</v>
      </c>
      <c r="AF16" s="47">
        <f t="shared" si="1"/>
        <v>1800.9935150000001</v>
      </c>
      <c r="AG16" s="36">
        <v>169.33564000000001</v>
      </c>
      <c r="AH16" s="36">
        <v>174.38957000000002</v>
      </c>
      <c r="AI16" s="36">
        <v>161.24092000000002</v>
      </c>
      <c r="AJ16" s="36">
        <v>164.09199000000001</v>
      </c>
      <c r="AK16" s="36">
        <v>165.96284</v>
      </c>
      <c r="AL16" s="36">
        <v>153.31484</v>
      </c>
      <c r="AM16" s="36">
        <v>153.54145</v>
      </c>
      <c r="AN16" s="36">
        <v>149.50462999999999</v>
      </c>
      <c r="AO16" s="36">
        <v>147.53364999999999</v>
      </c>
      <c r="AP16" s="36">
        <v>162.72705999999999</v>
      </c>
      <c r="AQ16" s="36">
        <v>147.81296</v>
      </c>
      <c r="AR16" s="36">
        <v>184.89795000000001</v>
      </c>
      <c r="AS16" s="47">
        <f t="shared" si="2"/>
        <v>1934.3535000000002</v>
      </c>
      <c r="AT16" s="26">
        <v>169.89426</v>
      </c>
      <c r="AU16" s="26">
        <v>192.39716000000001</v>
      </c>
      <c r="AV16" s="26">
        <v>167.23291</v>
      </c>
      <c r="AW16" s="26">
        <v>176.78215</v>
      </c>
      <c r="AX16" s="26">
        <v>158.35822999999999</v>
      </c>
      <c r="AY16" s="26">
        <v>150.21081000000001</v>
      </c>
      <c r="AZ16" s="26">
        <v>141.06209000000001</v>
      </c>
      <c r="BA16" s="26">
        <v>164.77708999999999</v>
      </c>
      <c r="BB16" s="26">
        <v>144.80378999999999</v>
      </c>
      <c r="BC16" s="26">
        <v>154.9907</v>
      </c>
      <c r="BD16" s="26">
        <v>154.9907</v>
      </c>
      <c r="BE16" s="26">
        <v>159.01697999999999</v>
      </c>
      <c r="BF16" s="56">
        <f t="shared" si="3"/>
        <v>1934.5168699999999</v>
      </c>
      <c r="BG16" s="26">
        <v>191.78057000000004</v>
      </c>
      <c r="BH16" s="26">
        <v>174.22620000000001</v>
      </c>
      <c r="BI16" s="26">
        <v>165.30409</v>
      </c>
      <c r="BJ16" s="26">
        <v>163.30149</v>
      </c>
      <c r="BK16" s="26">
        <v>175.93368000000001</v>
      </c>
      <c r="BL16" s="26">
        <v>163.21190000000001</v>
      </c>
      <c r="BM16" s="26">
        <v>165.01951</v>
      </c>
      <c r="BN16" s="26">
        <v>160.37664000000001</v>
      </c>
      <c r="BO16" s="26">
        <v>160.42934</v>
      </c>
      <c r="BP16" s="26">
        <v>165.14599000000001</v>
      </c>
      <c r="BQ16" s="26">
        <v>177.22483</v>
      </c>
      <c r="BR16" s="26">
        <v>178.68462000000002</v>
      </c>
      <c r="BS16" s="55">
        <f t="shared" si="4"/>
        <v>2040.63886</v>
      </c>
      <c r="BT16" s="39">
        <v>190.35239999999999</v>
      </c>
      <c r="BU16" s="39">
        <v>187.00595000000001</v>
      </c>
      <c r="BV16" s="39">
        <v>191.81746000000001</v>
      </c>
      <c r="BW16" s="39">
        <v>193.75155000000001</v>
      </c>
      <c r="BX16" s="39">
        <v>172.84019000000001</v>
      </c>
      <c r="BY16" s="39">
        <v>178.08911000000001</v>
      </c>
      <c r="BZ16" s="39">
        <v>165.18288000000001</v>
      </c>
      <c r="CA16" s="39">
        <v>166.60051000000001</v>
      </c>
      <c r="CB16" s="39">
        <v>181.21949000000001</v>
      </c>
      <c r="CC16" s="39">
        <v>182.64239000000001</v>
      </c>
      <c r="CD16" s="39">
        <v>202.26259999999999</v>
      </c>
      <c r="CE16" s="39">
        <v>219.67468000000002</v>
      </c>
      <c r="CF16" s="54">
        <f t="shared" si="5"/>
        <v>2231.43921</v>
      </c>
      <c r="CG16" s="38">
        <v>0</v>
      </c>
      <c r="CH16" s="38">
        <v>0</v>
      </c>
      <c r="CI16" s="38">
        <v>0</v>
      </c>
      <c r="CJ16" s="38">
        <v>0</v>
      </c>
      <c r="CK16" s="38">
        <v>0</v>
      </c>
      <c r="CL16" s="38">
        <v>0</v>
      </c>
      <c r="CM16" s="38">
        <v>0</v>
      </c>
      <c r="CN16" s="38">
        <v>0</v>
      </c>
      <c r="CO16" s="38">
        <v>0</v>
      </c>
      <c r="CP16" s="38">
        <v>0</v>
      </c>
      <c r="CQ16" s="38">
        <v>0</v>
      </c>
      <c r="CR16" s="38">
        <v>0</v>
      </c>
      <c r="CS16" s="54">
        <f t="shared" si="6"/>
        <v>0</v>
      </c>
    </row>
    <row r="17" spans="1:97" x14ac:dyDescent="0.15">
      <c r="B17" s="22" t="s">
        <v>8</v>
      </c>
      <c r="D17" s="25"/>
      <c r="E17" s="47">
        <v>293</v>
      </c>
      <c r="F17" s="47">
        <f>58766*0.00527</f>
        <v>309.69682</v>
      </c>
      <c r="G17" s="36">
        <v>24.538174000000001</v>
      </c>
      <c r="H17" s="36">
        <v>24.692057999999999</v>
      </c>
      <c r="I17" s="36">
        <v>29.323861000000004</v>
      </c>
      <c r="J17" s="36">
        <v>27.763941000000003</v>
      </c>
      <c r="K17" s="36">
        <v>28.263537000000003</v>
      </c>
      <c r="L17" s="36">
        <v>26.279909000000004</v>
      </c>
      <c r="M17" s="36">
        <v>25.599025000000001</v>
      </c>
      <c r="N17" s="36">
        <v>27.032992000000004</v>
      </c>
      <c r="O17" s="36">
        <v>26.137092000000003</v>
      </c>
      <c r="P17" s="36">
        <v>26.472263999999999</v>
      </c>
      <c r="Q17" s="36">
        <v>26.461724</v>
      </c>
      <c r="R17" s="36">
        <v>30.071147000000003</v>
      </c>
      <c r="S17" s="47">
        <f t="shared" si="0"/>
        <v>322.63572400000004</v>
      </c>
      <c r="T17" s="36">
        <v>20.780137</v>
      </c>
      <c r="U17" s="36">
        <v>19.780418000000004</v>
      </c>
      <c r="V17" s="36">
        <v>24.571375</v>
      </c>
      <c r="W17" s="36">
        <v>25.719708000000001</v>
      </c>
      <c r="X17" s="36">
        <v>25.318660999999999</v>
      </c>
      <c r="Y17" s="36">
        <v>24.203002000000001</v>
      </c>
      <c r="Z17" s="36">
        <v>22.516601999999999</v>
      </c>
      <c r="AA17" s="36">
        <v>23.697609</v>
      </c>
      <c r="AB17" s="36">
        <v>23.225417000000004</v>
      </c>
      <c r="AC17" s="36">
        <v>23.280225000000002</v>
      </c>
      <c r="AD17" s="36">
        <v>23.285495000000001</v>
      </c>
      <c r="AE17" s="36">
        <v>26.527598999999999</v>
      </c>
      <c r="AF17" s="47">
        <f t="shared" si="1"/>
        <v>282.90624800000001</v>
      </c>
      <c r="AG17" s="36">
        <v>23.456243000000001</v>
      </c>
      <c r="AH17" s="36">
        <v>22.911852</v>
      </c>
      <c r="AI17" s="36">
        <v>26.230898</v>
      </c>
      <c r="AJ17" s="36">
        <v>23.791415000000004</v>
      </c>
      <c r="AK17" s="36">
        <v>25.79665</v>
      </c>
      <c r="AL17" s="36">
        <v>24.450692000000004</v>
      </c>
      <c r="AM17" s="36">
        <v>24.142924000000001</v>
      </c>
      <c r="AN17" s="36">
        <v>24.791134</v>
      </c>
      <c r="AO17" s="36">
        <v>23.527387999999998</v>
      </c>
      <c r="AP17" s="36">
        <v>25.472545</v>
      </c>
      <c r="AQ17" s="36">
        <v>22.351651</v>
      </c>
      <c r="AR17" s="36">
        <v>25.109969</v>
      </c>
      <c r="AS17" s="47">
        <f t="shared" si="2"/>
        <v>292.03336099999996</v>
      </c>
      <c r="AT17" s="26">
        <v>18.911922000000001</v>
      </c>
      <c r="AU17" s="26">
        <v>18.100868999999999</v>
      </c>
      <c r="AV17" s="26">
        <v>19.883182999999999</v>
      </c>
      <c r="AW17" s="26">
        <v>21.587501</v>
      </c>
      <c r="AX17" s="26">
        <v>23.199594000000001</v>
      </c>
      <c r="AY17" s="26">
        <v>20.247340000000005</v>
      </c>
      <c r="AZ17" s="26">
        <v>21.181183999999998</v>
      </c>
      <c r="BA17" s="26">
        <v>20.921900000000001</v>
      </c>
      <c r="BB17" s="26">
        <v>21.760357000000003</v>
      </c>
      <c r="BC17" s="26">
        <v>23.144259000000002</v>
      </c>
      <c r="BD17" s="26">
        <v>22.106596000000003</v>
      </c>
      <c r="BE17" s="26">
        <v>25.248042999999999</v>
      </c>
      <c r="BF17" s="56">
        <f t="shared" si="3"/>
        <v>256.29274800000002</v>
      </c>
      <c r="BG17" s="26">
        <v>19.193340000000003</v>
      </c>
      <c r="BH17" s="26">
        <v>21.936902</v>
      </c>
      <c r="BI17" s="26">
        <v>21.869973000000002</v>
      </c>
      <c r="BJ17" s="26">
        <v>23.560062000000002</v>
      </c>
      <c r="BK17" s="26">
        <v>24.212488</v>
      </c>
      <c r="BL17" s="26">
        <v>23.415664</v>
      </c>
      <c r="BM17" s="26">
        <v>22.532938999999999</v>
      </c>
      <c r="BN17" s="26">
        <v>22.298424000000001</v>
      </c>
      <c r="BO17" s="26">
        <v>21.950077</v>
      </c>
      <c r="BP17" s="26">
        <v>23.514740000000003</v>
      </c>
      <c r="BQ17" s="26">
        <v>22.325301</v>
      </c>
      <c r="BR17" s="26">
        <v>24.079684</v>
      </c>
      <c r="BS17" s="55">
        <f t="shared" si="4"/>
        <v>270.88959400000005</v>
      </c>
      <c r="BT17" s="39">
        <v>13.90226</v>
      </c>
      <c r="BU17" s="39">
        <v>13.14865</v>
      </c>
      <c r="BV17" s="39">
        <v>16.960441000000003</v>
      </c>
      <c r="BW17" s="39">
        <v>17.437376</v>
      </c>
      <c r="BX17" s="39">
        <v>17.821559000000001</v>
      </c>
      <c r="BY17" s="39">
        <v>16.984156000000002</v>
      </c>
      <c r="BZ17" s="39">
        <v>17.315639000000001</v>
      </c>
      <c r="CA17" s="39">
        <v>17.586517000000001</v>
      </c>
      <c r="CB17" s="39">
        <v>17.889541999999999</v>
      </c>
      <c r="CC17" s="39">
        <v>18.525631000000004</v>
      </c>
      <c r="CD17" s="39">
        <v>17.726699</v>
      </c>
      <c r="CE17" s="39">
        <v>18.91403</v>
      </c>
      <c r="CF17" s="54">
        <f t="shared" si="5"/>
        <v>204.21250000000001</v>
      </c>
      <c r="CG17" s="38">
        <v>0</v>
      </c>
      <c r="CH17" s="38">
        <v>0</v>
      </c>
      <c r="CI17" s="38">
        <v>0</v>
      </c>
      <c r="CJ17" s="38">
        <v>0</v>
      </c>
      <c r="CK17" s="38">
        <v>0</v>
      </c>
      <c r="CL17" s="38">
        <v>0</v>
      </c>
      <c r="CM17" s="38">
        <v>0</v>
      </c>
      <c r="CN17" s="38">
        <v>0</v>
      </c>
      <c r="CO17" s="38">
        <v>0</v>
      </c>
      <c r="CP17" s="38">
        <v>0</v>
      </c>
      <c r="CQ17" s="38">
        <v>0</v>
      </c>
      <c r="CR17" s="38">
        <v>0</v>
      </c>
      <c r="CS17" s="54">
        <f t="shared" si="6"/>
        <v>0</v>
      </c>
    </row>
    <row r="18" spans="1:97" x14ac:dyDescent="0.15">
      <c r="B18" s="22" t="s">
        <v>9</v>
      </c>
      <c r="D18" s="25"/>
      <c r="E18" s="47">
        <f>22+4</f>
        <v>26</v>
      </c>
      <c r="F18" s="47">
        <f>24+4</f>
        <v>28</v>
      </c>
      <c r="G18" s="58">
        <f t="shared" ref="G18:R18" si="19">$F$18/12</f>
        <v>2.3333333333333335</v>
      </c>
      <c r="H18" s="58">
        <f t="shared" si="19"/>
        <v>2.3333333333333335</v>
      </c>
      <c r="I18" s="58">
        <f t="shared" si="19"/>
        <v>2.3333333333333335</v>
      </c>
      <c r="J18" s="58">
        <f t="shared" si="19"/>
        <v>2.3333333333333335</v>
      </c>
      <c r="K18" s="58">
        <f t="shared" si="19"/>
        <v>2.3333333333333335</v>
      </c>
      <c r="L18" s="58">
        <f t="shared" si="19"/>
        <v>2.3333333333333335</v>
      </c>
      <c r="M18" s="58">
        <f t="shared" si="19"/>
        <v>2.3333333333333335</v>
      </c>
      <c r="N18" s="58">
        <f t="shared" si="19"/>
        <v>2.3333333333333335</v>
      </c>
      <c r="O18" s="58">
        <f t="shared" si="19"/>
        <v>2.3333333333333335</v>
      </c>
      <c r="P18" s="58">
        <f t="shared" si="19"/>
        <v>2.3333333333333335</v>
      </c>
      <c r="Q18" s="58">
        <f t="shared" si="19"/>
        <v>2.3333333333333335</v>
      </c>
      <c r="R18" s="58">
        <f t="shared" si="19"/>
        <v>2.3333333333333335</v>
      </c>
      <c r="S18" s="47">
        <f t="shared" si="0"/>
        <v>27.999999999999996</v>
      </c>
      <c r="T18" s="58">
        <f t="shared" ref="T18:AE18" si="20">$F$18/12</f>
        <v>2.3333333333333335</v>
      </c>
      <c r="U18" s="58">
        <f t="shared" si="20"/>
        <v>2.3333333333333335</v>
      </c>
      <c r="V18" s="58">
        <f t="shared" si="20"/>
        <v>2.3333333333333335</v>
      </c>
      <c r="W18" s="58">
        <f t="shared" si="20"/>
        <v>2.3333333333333335</v>
      </c>
      <c r="X18" s="58">
        <f t="shared" si="20"/>
        <v>2.3333333333333335</v>
      </c>
      <c r="Y18" s="58">
        <f t="shared" si="20"/>
        <v>2.3333333333333335</v>
      </c>
      <c r="Z18" s="58">
        <f t="shared" si="20"/>
        <v>2.3333333333333335</v>
      </c>
      <c r="AA18" s="58">
        <f t="shared" si="20"/>
        <v>2.3333333333333335</v>
      </c>
      <c r="AB18" s="58">
        <f t="shared" si="20"/>
        <v>2.3333333333333335</v>
      </c>
      <c r="AC18" s="58">
        <f t="shared" si="20"/>
        <v>2.3333333333333335</v>
      </c>
      <c r="AD18" s="58">
        <f t="shared" si="20"/>
        <v>2.3333333333333335</v>
      </c>
      <c r="AE18" s="58">
        <f t="shared" si="20"/>
        <v>2.3333333333333335</v>
      </c>
      <c r="AF18" s="47">
        <f t="shared" si="1"/>
        <v>27.999999999999996</v>
      </c>
      <c r="AG18" s="58">
        <f t="shared" ref="AG18:AR18" si="21">$F$18/12</f>
        <v>2.3333333333333335</v>
      </c>
      <c r="AH18" s="58">
        <f t="shared" si="21"/>
        <v>2.3333333333333335</v>
      </c>
      <c r="AI18" s="58">
        <f t="shared" si="21"/>
        <v>2.3333333333333335</v>
      </c>
      <c r="AJ18" s="58">
        <f t="shared" si="21"/>
        <v>2.3333333333333335</v>
      </c>
      <c r="AK18" s="58">
        <f t="shared" si="21"/>
        <v>2.3333333333333335</v>
      </c>
      <c r="AL18" s="58">
        <f t="shared" si="21"/>
        <v>2.3333333333333335</v>
      </c>
      <c r="AM18" s="58">
        <f t="shared" si="21"/>
        <v>2.3333333333333335</v>
      </c>
      <c r="AN18" s="58">
        <f t="shared" si="21"/>
        <v>2.3333333333333335</v>
      </c>
      <c r="AO18" s="58">
        <f t="shared" si="21"/>
        <v>2.3333333333333335</v>
      </c>
      <c r="AP18" s="58">
        <f t="shared" si="21"/>
        <v>2.3333333333333335</v>
      </c>
      <c r="AQ18" s="58">
        <f t="shared" si="21"/>
        <v>2.3333333333333335</v>
      </c>
      <c r="AR18" s="58">
        <f t="shared" si="21"/>
        <v>2.3333333333333335</v>
      </c>
      <c r="AS18" s="47">
        <f t="shared" si="2"/>
        <v>27.999999999999996</v>
      </c>
      <c r="AT18" s="57">
        <f t="shared" ref="AT18:BE18" si="22">$F$18/12</f>
        <v>2.3333333333333335</v>
      </c>
      <c r="AU18" s="57">
        <f t="shared" si="22"/>
        <v>2.3333333333333335</v>
      </c>
      <c r="AV18" s="57">
        <f t="shared" si="22"/>
        <v>2.3333333333333335</v>
      </c>
      <c r="AW18" s="57">
        <f t="shared" si="22"/>
        <v>2.3333333333333335</v>
      </c>
      <c r="AX18" s="57">
        <f t="shared" si="22"/>
        <v>2.3333333333333335</v>
      </c>
      <c r="AY18" s="57">
        <f t="shared" si="22"/>
        <v>2.3333333333333335</v>
      </c>
      <c r="AZ18" s="57">
        <f t="shared" si="22"/>
        <v>2.3333333333333335</v>
      </c>
      <c r="BA18" s="57">
        <f t="shared" si="22"/>
        <v>2.3333333333333335</v>
      </c>
      <c r="BB18" s="57">
        <f t="shared" si="22"/>
        <v>2.3333333333333335</v>
      </c>
      <c r="BC18" s="57">
        <f t="shared" si="22"/>
        <v>2.3333333333333335</v>
      </c>
      <c r="BD18" s="57">
        <f t="shared" si="22"/>
        <v>2.3333333333333335</v>
      </c>
      <c r="BE18" s="57">
        <f t="shared" si="22"/>
        <v>2.3333333333333335</v>
      </c>
      <c r="BF18" s="56">
        <f t="shared" si="3"/>
        <v>27.999999999999996</v>
      </c>
      <c r="BG18" s="57">
        <f t="shared" ref="BG18:BR18" si="23">$F$18/12</f>
        <v>2.3333333333333335</v>
      </c>
      <c r="BH18" s="57">
        <f t="shared" si="23"/>
        <v>2.3333333333333335</v>
      </c>
      <c r="BI18" s="57">
        <f t="shared" si="23"/>
        <v>2.3333333333333335</v>
      </c>
      <c r="BJ18" s="57">
        <f t="shared" si="23"/>
        <v>2.3333333333333335</v>
      </c>
      <c r="BK18" s="57">
        <f t="shared" si="23"/>
        <v>2.3333333333333335</v>
      </c>
      <c r="BL18" s="57">
        <f t="shared" si="23"/>
        <v>2.3333333333333335</v>
      </c>
      <c r="BM18" s="57">
        <f t="shared" si="23"/>
        <v>2.3333333333333335</v>
      </c>
      <c r="BN18" s="57">
        <f t="shared" si="23"/>
        <v>2.3333333333333335</v>
      </c>
      <c r="BO18" s="57">
        <f t="shared" si="23"/>
        <v>2.3333333333333335</v>
      </c>
      <c r="BP18" s="57">
        <f t="shared" si="23"/>
        <v>2.3333333333333335</v>
      </c>
      <c r="BQ18" s="57">
        <f t="shared" si="23"/>
        <v>2.3333333333333335</v>
      </c>
      <c r="BR18" s="57">
        <f t="shared" si="23"/>
        <v>2.3333333333333335</v>
      </c>
      <c r="BS18" s="55">
        <f t="shared" si="4"/>
        <v>27.999999999999996</v>
      </c>
      <c r="BT18" s="38">
        <v>2.3333333333333335</v>
      </c>
      <c r="BU18" s="38">
        <v>2.3333333333333335</v>
      </c>
      <c r="BV18" s="38">
        <v>2.3333333333333335</v>
      </c>
      <c r="BW18" s="38">
        <v>2.3333333333333335</v>
      </c>
      <c r="BX18" s="38">
        <v>2.3333333333333335</v>
      </c>
      <c r="BY18" s="38">
        <v>2.3333333333333335</v>
      </c>
      <c r="BZ18" s="38">
        <v>2.3333333333333335</v>
      </c>
      <c r="CA18" s="38">
        <v>2.3333333333333335</v>
      </c>
      <c r="CB18" s="38">
        <v>2.3333333333333335</v>
      </c>
      <c r="CC18" s="38">
        <v>2.3333333333333335</v>
      </c>
      <c r="CD18" s="38">
        <v>2.3333333333333335</v>
      </c>
      <c r="CE18" s="38">
        <v>2.3333333333333335</v>
      </c>
      <c r="CF18" s="54">
        <f t="shared" si="5"/>
        <v>27.999999999999996</v>
      </c>
      <c r="CG18" s="38">
        <f t="shared" ref="CG18:CR18" si="24">$F$18/12</f>
        <v>2.3333333333333335</v>
      </c>
      <c r="CH18" s="38">
        <f t="shared" si="24"/>
        <v>2.3333333333333335</v>
      </c>
      <c r="CI18" s="38">
        <f t="shared" si="24"/>
        <v>2.3333333333333335</v>
      </c>
      <c r="CJ18" s="38">
        <f t="shared" si="24"/>
        <v>2.3333333333333335</v>
      </c>
      <c r="CK18" s="38">
        <f t="shared" si="24"/>
        <v>2.3333333333333335</v>
      </c>
      <c r="CL18" s="38">
        <f t="shared" si="24"/>
        <v>2.3333333333333335</v>
      </c>
      <c r="CM18" s="38">
        <f t="shared" si="24"/>
        <v>2.3333333333333335</v>
      </c>
      <c r="CN18" s="38">
        <f t="shared" si="24"/>
        <v>2.3333333333333335</v>
      </c>
      <c r="CO18" s="38">
        <f t="shared" si="24"/>
        <v>2.3333333333333335</v>
      </c>
      <c r="CP18" s="38">
        <f t="shared" si="24"/>
        <v>2.3333333333333335</v>
      </c>
      <c r="CQ18" s="38">
        <f t="shared" si="24"/>
        <v>2.3333333333333335</v>
      </c>
      <c r="CR18" s="38">
        <f t="shared" si="24"/>
        <v>2.3333333333333335</v>
      </c>
      <c r="CS18" s="54">
        <f t="shared" si="6"/>
        <v>27.999999999999996</v>
      </c>
    </row>
    <row r="19" spans="1:97" x14ac:dyDescent="0.15">
      <c r="B19" s="22" t="s">
        <v>10</v>
      </c>
      <c r="D19" s="25"/>
      <c r="E19" s="47">
        <v>0</v>
      </c>
      <c r="F19" s="47">
        <v>0</v>
      </c>
      <c r="G19" s="36">
        <v>0</v>
      </c>
      <c r="H19" s="35">
        <v>0</v>
      </c>
      <c r="I19" s="35">
        <v>0</v>
      </c>
      <c r="J19" s="35">
        <v>0</v>
      </c>
      <c r="K19" s="35">
        <v>0</v>
      </c>
      <c r="L19" s="35">
        <v>0</v>
      </c>
      <c r="M19" s="35">
        <v>0</v>
      </c>
      <c r="N19" s="35">
        <v>0</v>
      </c>
      <c r="O19" s="35">
        <v>0</v>
      </c>
      <c r="P19" s="35">
        <v>0</v>
      </c>
      <c r="Q19" s="35">
        <v>0</v>
      </c>
      <c r="R19" s="36">
        <v>0</v>
      </c>
      <c r="S19" s="47">
        <f t="shared" si="0"/>
        <v>0</v>
      </c>
      <c r="T19" s="36">
        <v>0</v>
      </c>
      <c r="U19" s="36">
        <v>0</v>
      </c>
      <c r="V19" s="36">
        <v>0</v>
      </c>
      <c r="W19" s="36">
        <v>0</v>
      </c>
      <c r="X19" s="36">
        <v>0</v>
      </c>
      <c r="Y19" s="36">
        <v>0</v>
      </c>
      <c r="Z19" s="36">
        <v>0</v>
      </c>
      <c r="AA19" s="36">
        <v>0</v>
      </c>
      <c r="AB19" s="36">
        <v>0</v>
      </c>
      <c r="AC19" s="36">
        <v>0</v>
      </c>
      <c r="AD19" s="36">
        <v>0</v>
      </c>
      <c r="AE19" s="36">
        <v>0</v>
      </c>
      <c r="AF19" s="47">
        <f t="shared" si="1"/>
        <v>0</v>
      </c>
      <c r="AG19" s="36">
        <v>0</v>
      </c>
      <c r="AH19" s="36">
        <v>0</v>
      </c>
      <c r="AI19" s="36">
        <v>0</v>
      </c>
      <c r="AJ19" s="36">
        <v>0</v>
      </c>
      <c r="AK19" s="36">
        <v>0</v>
      </c>
      <c r="AL19" s="36">
        <v>0</v>
      </c>
      <c r="AM19" s="36">
        <v>0</v>
      </c>
      <c r="AN19" s="36">
        <v>0</v>
      </c>
      <c r="AO19" s="36">
        <v>0</v>
      </c>
      <c r="AP19" s="36">
        <v>0</v>
      </c>
      <c r="AQ19" s="36">
        <v>0</v>
      </c>
      <c r="AR19" s="36">
        <v>0</v>
      </c>
      <c r="AS19" s="47">
        <f t="shared" si="2"/>
        <v>0</v>
      </c>
      <c r="AT19" s="26">
        <v>0</v>
      </c>
      <c r="AU19" s="26">
        <v>0</v>
      </c>
      <c r="AV19" s="26">
        <v>0</v>
      </c>
      <c r="AW19" s="26">
        <v>0</v>
      </c>
      <c r="AX19" s="26">
        <v>0</v>
      </c>
      <c r="AY19" s="26">
        <v>0</v>
      </c>
      <c r="AZ19" s="26">
        <v>0</v>
      </c>
      <c r="BA19" s="26">
        <v>0</v>
      </c>
      <c r="BB19" s="26">
        <v>0</v>
      </c>
      <c r="BC19" s="26">
        <v>0</v>
      </c>
      <c r="BD19" s="26">
        <v>0</v>
      </c>
      <c r="BE19" s="26">
        <v>0</v>
      </c>
      <c r="BF19" s="56">
        <f t="shared" si="3"/>
        <v>0</v>
      </c>
      <c r="BG19" s="26">
        <v>0</v>
      </c>
      <c r="BH19" s="26">
        <v>0</v>
      </c>
      <c r="BI19" s="26">
        <v>0</v>
      </c>
      <c r="BJ19" s="26">
        <v>0</v>
      </c>
      <c r="BK19" s="26">
        <v>0</v>
      </c>
      <c r="BL19" s="26">
        <v>0</v>
      </c>
      <c r="BM19" s="26">
        <v>0</v>
      </c>
      <c r="BN19" s="26">
        <v>0</v>
      </c>
      <c r="BO19" s="26">
        <v>0</v>
      </c>
      <c r="BP19" s="26">
        <v>0</v>
      </c>
      <c r="BQ19" s="26">
        <v>0</v>
      </c>
      <c r="BR19" s="26">
        <v>0</v>
      </c>
      <c r="BS19" s="55">
        <f t="shared" si="4"/>
        <v>0</v>
      </c>
      <c r="BT19" s="38">
        <v>0</v>
      </c>
      <c r="BU19" s="38">
        <v>0</v>
      </c>
      <c r="BV19" s="38">
        <v>0</v>
      </c>
      <c r="BW19" s="38">
        <v>0</v>
      </c>
      <c r="BX19" s="38">
        <v>0</v>
      </c>
      <c r="BY19" s="38">
        <v>0</v>
      </c>
      <c r="BZ19" s="38">
        <v>0</v>
      </c>
      <c r="CA19" s="38">
        <v>0</v>
      </c>
      <c r="CB19" s="38">
        <v>0</v>
      </c>
      <c r="CC19" s="38">
        <v>0</v>
      </c>
      <c r="CD19" s="38">
        <v>0</v>
      </c>
      <c r="CE19" s="38">
        <v>0</v>
      </c>
      <c r="CF19" s="54">
        <f t="shared" si="5"/>
        <v>0</v>
      </c>
      <c r="CG19" s="38">
        <v>0</v>
      </c>
      <c r="CH19" s="38">
        <v>0</v>
      </c>
      <c r="CI19" s="38">
        <v>0</v>
      </c>
      <c r="CJ19" s="38">
        <v>0</v>
      </c>
      <c r="CK19" s="38">
        <v>0</v>
      </c>
      <c r="CL19" s="38">
        <v>0</v>
      </c>
      <c r="CM19" s="38">
        <v>0</v>
      </c>
      <c r="CN19" s="38">
        <v>0</v>
      </c>
      <c r="CO19" s="38">
        <v>0</v>
      </c>
      <c r="CP19" s="38">
        <v>0</v>
      </c>
      <c r="CQ19" s="38">
        <v>0</v>
      </c>
      <c r="CR19" s="38">
        <v>0</v>
      </c>
      <c r="CS19" s="54">
        <f t="shared" si="6"/>
        <v>0</v>
      </c>
    </row>
    <row r="20" spans="1:97" x14ac:dyDescent="0.15">
      <c r="B20" s="22" t="s">
        <v>11</v>
      </c>
      <c r="D20" s="25"/>
      <c r="E20" s="47">
        <v>0</v>
      </c>
      <c r="F20" s="47">
        <v>0</v>
      </c>
      <c r="G20" s="36">
        <v>0</v>
      </c>
      <c r="H20" s="35">
        <v>0</v>
      </c>
      <c r="I20" s="35">
        <v>0</v>
      </c>
      <c r="J20" s="35">
        <v>0</v>
      </c>
      <c r="K20" s="35">
        <v>0</v>
      </c>
      <c r="L20" s="35">
        <v>0</v>
      </c>
      <c r="M20" s="35">
        <v>0</v>
      </c>
      <c r="N20" s="35">
        <v>0</v>
      </c>
      <c r="O20" s="35">
        <v>0</v>
      </c>
      <c r="P20" s="35">
        <v>0</v>
      </c>
      <c r="Q20" s="35">
        <v>0</v>
      </c>
      <c r="R20" s="36">
        <v>0</v>
      </c>
      <c r="S20" s="47">
        <f t="shared" si="0"/>
        <v>0</v>
      </c>
      <c r="T20" s="36">
        <v>0</v>
      </c>
      <c r="U20" s="36">
        <v>0</v>
      </c>
      <c r="V20" s="36">
        <v>0</v>
      </c>
      <c r="W20" s="36">
        <v>0</v>
      </c>
      <c r="X20" s="36">
        <v>0</v>
      </c>
      <c r="Y20" s="36">
        <v>0</v>
      </c>
      <c r="Z20" s="36">
        <v>0</v>
      </c>
      <c r="AA20" s="36">
        <v>0</v>
      </c>
      <c r="AB20" s="36">
        <v>0</v>
      </c>
      <c r="AC20" s="36">
        <v>0</v>
      </c>
      <c r="AD20" s="36">
        <v>0</v>
      </c>
      <c r="AE20" s="36">
        <v>0</v>
      </c>
      <c r="AF20" s="47">
        <f t="shared" si="1"/>
        <v>0</v>
      </c>
      <c r="AG20" s="36">
        <v>0</v>
      </c>
      <c r="AH20" s="36">
        <v>0</v>
      </c>
      <c r="AI20" s="36">
        <v>0</v>
      </c>
      <c r="AJ20" s="36">
        <v>0</v>
      </c>
      <c r="AK20" s="36">
        <v>0</v>
      </c>
      <c r="AL20" s="36">
        <v>0</v>
      </c>
      <c r="AM20" s="36">
        <v>0</v>
      </c>
      <c r="AN20" s="36">
        <v>0</v>
      </c>
      <c r="AO20" s="36">
        <v>0</v>
      </c>
      <c r="AP20" s="36">
        <v>0</v>
      </c>
      <c r="AQ20" s="36">
        <v>0</v>
      </c>
      <c r="AR20" s="36">
        <v>0</v>
      </c>
      <c r="AS20" s="47">
        <f t="shared" si="2"/>
        <v>0</v>
      </c>
      <c r="AT20" s="26">
        <v>0</v>
      </c>
      <c r="AU20" s="26">
        <v>0</v>
      </c>
      <c r="AV20" s="26">
        <v>0</v>
      </c>
      <c r="AW20" s="26">
        <v>0</v>
      </c>
      <c r="AX20" s="26">
        <v>0</v>
      </c>
      <c r="AY20" s="26">
        <v>0</v>
      </c>
      <c r="AZ20" s="26">
        <v>0</v>
      </c>
      <c r="BA20" s="26">
        <v>0</v>
      </c>
      <c r="BB20" s="26">
        <v>0</v>
      </c>
      <c r="BC20" s="26">
        <v>0</v>
      </c>
      <c r="BD20" s="26">
        <v>0</v>
      </c>
      <c r="BE20" s="26">
        <v>0</v>
      </c>
      <c r="BF20" s="56">
        <f t="shared" si="3"/>
        <v>0</v>
      </c>
      <c r="BG20" s="26">
        <v>0</v>
      </c>
      <c r="BH20" s="26">
        <v>0</v>
      </c>
      <c r="BI20" s="26">
        <v>0</v>
      </c>
      <c r="BJ20" s="26">
        <v>0</v>
      </c>
      <c r="BK20" s="26">
        <v>0</v>
      </c>
      <c r="BL20" s="26">
        <v>0</v>
      </c>
      <c r="BM20" s="26">
        <v>0</v>
      </c>
      <c r="BN20" s="26">
        <v>0</v>
      </c>
      <c r="BO20" s="26">
        <v>0</v>
      </c>
      <c r="BP20" s="26">
        <v>0</v>
      </c>
      <c r="BQ20" s="26">
        <v>0</v>
      </c>
      <c r="BR20" s="26">
        <v>0</v>
      </c>
      <c r="BS20" s="55">
        <f t="shared" si="4"/>
        <v>0</v>
      </c>
      <c r="BT20" s="38">
        <v>0</v>
      </c>
      <c r="BU20" s="38">
        <v>0</v>
      </c>
      <c r="BV20" s="38">
        <v>0</v>
      </c>
      <c r="BW20" s="38">
        <v>0</v>
      </c>
      <c r="BX20" s="38">
        <v>0</v>
      </c>
      <c r="BY20" s="38">
        <v>0</v>
      </c>
      <c r="BZ20" s="38">
        <v>0</v>
      </c>
      <c r="CA20" s="38">
        <v>0</v>
      </c>
      <c r="CB20" s="38">
        <v>0</v>
      </c>
      <c r="CC20" s="38">
        <v>0</v>
      </c>
      <c r="CD20" s="38">
        <v>0</v>
      </c>
      <c r="CE20" s="38">
        <v>0</v>
      </c>
      <c r="CF20" s="54">
        <f t="shared" si="5"/>
        <v>0</v>
      </c>
      <c r="CG20" s="38">
        <v>0</v>
      </c>
      <c r="CH20" s="38">
        <v>0</v>
      </c>
      <c r="CI20" s="38">
        <v>0</v>
      </c>
      <c r="CJ20" s="38">
        <v>0</v>
      </c>
      <c r="CK20" s="38">
        <v>0</v>
      </c>
      <c r="CL20" s="38">
        <v>0</v>
      </c>
      <c r="CM20" s="38">
        <v>0</v>
      </c>
      <c r="CN20" s="38">
        <v>0</v>
      </c>
      <c r="CO20" s="38">
        <v>0</v>
      </c>
      <c r="CP20" s="38">
        <v>0</v>
      </c>
      <c r="CQ20" s="38">
        <v>0</v>
      </c>
      <c r="CR20" s="38">
        <v>0</v>
      </c>
      <c r="CS20" s="54">
        <f t="shared" si="6"/>
        <v>0</v>
      </c>
    </row>
    <row r="21" spans="1:97" x14ac:dyDescent="0.15">
      <c r="B21" s="22" t="s">
        <v>12</v>
      </c>
      <c r="D21" s="25">
        <v>13</v>
      </c>
      <c r="E21" s="47">
        <v>2629</v>
      </c>
      <c r="F21" s="47">
        <v>2689</v>
      </c>
      <c r="G21" s="36">
        <v>232.133915</v>
      </c>
      <c r="H21" s="36">
        <v>231.1358338</v>
      </c>
      <c r="I21" s="36">
        <v>273.10434460000005</v>
      </c>
      <c r="J21" s="36">
        <v>244.93839819999997</v>
      </c>
      <c r="K21" s="36">
        <v>278.8668965</v>
      </c>
      <c r="L21" s="36">
        <v>260.85275380000002</v>
      </c>
      <c r="M21" s="36">
        <v>262.75086520000002</v>
      </c>
      <c r="N21" s="36">
        <v>265.4384766</v>
      </c>
      <c r="O21" s="36">
        <v>251.70420870000001</v>
      </c>
      <c r="P21" s="36">
        <v>285.6469434</v>
      </c>
      <c r="Q21" s="36">
        <v>230.16045430000003</v>
      </c>
      <c r="R21" s="36">
        <v>201.8512637</v>
      </c>
      <c r="S21" s="47">
        <f t="shared" si="0"/>
        <v>3018.5843537999995</v>
      </c>
      <c r="T21" s="36">
        <v>232.64513839999995</v>
      </c>
      <c r="U21" s="36">
        <v>227.00713619999999</v>
      </c>
      <c r="V21" s="36">
        <v>254.03954239999999</v>
      </c>
      <c r="W21" s="36">
        <v>255.5261964</v>
      </c>
      <c r="X21" s="36">
        <v>266.25236560000002</v>
      </c>
      <c r="Y21" s="36">
        <v>243.0392167</v>
      </c>
      <c r="Z21" s="36">
        <v>255.92231910000001</v>
      </c>
      <c r="AA21" s="36">
        <v>253.67974119999997</v>
      </c>
      <c r="AB21" s="36">
        <v>244.97672179999998</v>
      </c>
      <c r="AC21" s="36">
        <v>300.01769180000002</v>
      </c>
      <c r="AD21" s="36">
        <v>236.03359019999999</v>
      </c>
      <c r="AE21" s="36">
        <v>204.98549530000003</v>
      </c>
      <c r="AF21" s="47">
        <f t="shared" si="1"/>
        <v>2974.1251551000005</v>
      </c>
      <c r="AG21" s="36">
        <v>235.01941079999997</v>
      </c>
      <c r="AH21" s="36">
        <v>232.10085119999997</v>
      </c>
      <c r="AI21" s="36">
        <v>259.73605240000001</v>
      </c>
      <c r="AJ21" s="36">
        <v>278.50585139999998</v>
      </c>
      <c r="AK21" s="36">
        <v>267.00533989999997</v>
      </c>
      <c r="AL21" s="36">
        <v>240.23402150000004</v>
      </c>
      <c r="AM21" s="36">
        <v>274.03363899999999</v>
      </c>
      <c r="AN21" s="36">
        <v>250.5888008</v>
      </c>
      <c r="AO21" s="36">
        <v>263.2421832</v>
      </c>
      <c r="AP21" s="36">
        <v>293.62696840000001</v>
      </c>
      <c r="AQ21" s="36">
        <v>208.4055893</v>
      </c>
      <c r="AR21" s="36">
        <v>202.9215428</v>
      </c>
      <c r="AS21" s="47">
        <f t="shared" si="2"/>
        <v>3005.4202507</v>
      </c>
      <c r="AT21" s="26">
        <v>221.22897929999999</v>
      </c>
      <c r="AU21" s="26">
        <v>219.85253469999998</v>
      </c>
      <c r="AV21" s="26">
        <v>263.25721970000001</v>
      </c>
      <c r="AW21" s="26">
        <v>255.79997119999999</v>
      </c>
      <c r="AX21" s="26">
        <v>249.2194202</v>
      </c>
      <c r="AY21" s="26">
        <v>236.66989589999997</v>
      </c>
      <c r="AZ21" s="26">
        <v>256.86205340000004</v>
      </c>
      <c r="BA21" s="26">
        <v>222.92411079999999</v>
      </c>
      <c r="BB21" s="26">
        <v>237.6290904</v>
      </c>
      <c r="BC21" s="26">
        <v>252.27024990000004</v>
      </c>
      <c r="BD21" s="26">
        <v>207.09710010000001</v>
      </c>
      <c r="BE21" s="26">
        <v>205.52625499999999</v>
      </c>
      <c r="BF21" s="56">
        <f t="shared" si="3"/>
        <v>2828.3368805999999</v>
      </c>
      <c r="BG21" s="26">
        <v>192.99731659999998</v>
      </c>
      <c r="BH21" s="26">
        <v>205.36220620000003</v>
      </c>
      <c r="BI21" s="26">
        <v>239.96167330000003</v>
      </c>
      <c r="BJ21" s="26">
        <v>252.13617880000004</v>
      </c>
      <c r="BK21" s="26">
        <v>239.41261639999996</v>
      </c>
      <c r="BL21" s="26">
        <v>223.7975558</v>
      </c>
      <c r="BM21" s="26">
        <v>244.65884289999997</v>
      </c>
      <c r="BN21" s="26">
        <v>233.04674140000003</v>
      </c>
      <c r="BO21" s="26">
        <v>222.80835750000006</v>
      </c>
      <c r="BP21" s="26">
        <v>241.22002319999996</v>
      </c>
      <c r="BQ21" s="26">
        <v>196.41072780000002</v>
      </c>
      <c r="BR21" s="26">
        <v>187.4921344</v>
      </c>
      <c r="BS21" s="55">
        <f t="shared" si="4"/>
        <v>2679.3043743000003</v>
      </c>
      <c r="BT21" s="39">
        <v>204.50574860000003</v>
      </c>
      <c r="BU21" s="39">
        <v>210.79206449999998</v>
      </c>
      <c r="BV21" s="39">
        <v>244.32169749999997</v>
      </c>
      <c r="BW21" s="39">
        <v>241.26637910000002</v>
      </c>
      <c r="BX21" s="39">
        <v>253.55152669999998</v>
      </c>
      <c r="BY21" s="39">
        <v>210.35392250000001</v>
      </c>
      <c r="BZ21" s="39">
        <v>231.93120239999999</v>
      </c>
      <c r="CA21" s="39">
        <v>233.87294219999998</v>
      </c>
      <c r="CB21" s="39">
        <v>225.08993319999999</v>
      </c>
      <c r="CC21" s="39">
        <v>243.76492800000005</v>
      </c>
      <c r="CD21" s="39">
        <v>222.3775761</v>
      </c>
      <c r="CE21" s="39">
        <v>194.4290196</v>
      </c>
      <c r="CF21" s="54">
        <f t="shared" si="5"/>
        <v>2716.2569404000005</v>
      </c>
      <c r="CG21" s="38">
        <v>0</v>
      </c>
      <c r="CH21" s="38">
        <v>0</v>
      </c>
      <c r="CI21" s="38">
        <v>0</v>
      </c>
      <c r="CJ21" s="38">
        <v>0</v>
      </c>
      <c r="CK21" s="38">
        <v>0</v>
      </c>
      <c r="CL21" s="38">
        <v>0</v>
      </c>
      <c r="CM21" s="38">
        <v>0</v>
      </c>
      <c r="CN21" s="38">
        <v>0</v>
      </c>
      <c r="CO21" s="38">
        <v>0</v>
      </c>
      <c r="CP21" s="38">
        <v>0</v>
      </c>
      <c r="CQ21" s="38">
        <v>0</v>
      </c>
      <c r="CR21" s="38">
        <v>0</v>
      </c>
      <c r="CS21" s="54">
        <f t="shared" si="6"/>
        <v>0</v>
      </c>
    </row>
    <row r="22" spans="1:97" x14ac:dyDescent="0.15">
      <c r="B22" s="22" t="s">
        <v>13</v>
      </c>
      <c r="D22" s="25">
        <v>14</v>
      </c>
      <c r="E22" s="47">
        <v>16597</v>
      </c>
      <c r="F22" s="47">
        <v>12752</v>
      </c>
      <c r="G22" s="36">
        <v>1005.0091493947547</v>
      </c>
      <c r="H22" s="36">
        <v>1005.0091493947547</v>
      </c>
      <c r="I22" s="36">
        <v>1005.0091493947547</v>
      </c>
      <c r="J22" s="36">
        <v>1005.0091493947547</v>
      </c>
      <c r="K22" s="36">
        <v>1005.0091493947547</v>
      </c>
      <c r="L22" s="36">
        <v>1005.0091493947547</v>
      </c>
      <c r="M22" s="36">
        <v>1005.0091493947547</v>
      </c>
      <c r="N22" s="36">
        <v>1005.0091493947547</v>
      </c>
      <c r="O22" s="36">
        <v>1005.0091493947547</v>
      </c>
      <c r="P22" s="36">
        <v>1005.0091493947547</v>
      </c>
      <c r="Q22" s="36">
        <v>1005.0091493947547</v>
      </c>
      <c r="R22" s="36">
        <v>1005.0091493947547</v>
      </c>
      <c r="S22" s="47">
        <f t="shared" si="0"/>
        <v>12060.109792737056</v>
      </c>
      <c r="T22" s="36">
        <v>949.32568217737935</v>
      </c>
      <c r="U22" s="36">
        <v>949.32568217737935</v>
      </c>
      <c r="V22" s="36">
        <v>949.32568217737935</v>
      </c>
      <c r="W22" s="36">
        <v>949.32568217737935</v>
      </c>
      <c r="X22" s="36">
        <v>949.32568217737935</v>
      </c>
      <c r="Y22" s="36">
        <v>949.32568217737935</v>
      </c>
      <c r="Z22" s="36">
        <v>949.32568217737935</v>
      </c>
      <c r="AA22" s="36">
        <v>949.32568217737935</v>
      </c>
      <c r="AB22" s="36">
        <v>949.32568217737935</v>
      </c>
      <c r="AC22" s="36">
        <v>949.32568217737935</v>
      </c>
      <c r="AD22" s="36">
        <v>949.32568217737935</v>
      </c>
      <c r="AE22" s="36">
        <v>949.32568217737935</v>
      </c>
      <c r="AF22" s="47">
        <f t="shared" si="1"/>
        <v>11391.908186128552</v>
      </c>
      <c r="AG22" s="36">
        <v>896.72740928208202</v>
      </c>
      <c r="AH22" s="36">
        <v>896.72740928208202</v>
      </c>
      <c r="AI22" s="36">
        <v>896.72740928208202</v>
      </c>
      <c r="AJ22" s="36">
        <v>896.72740928208202</v>
      </c>
      <c r="AK22" s="36">
        <v>896.72740928208202</v>
      </c>
      <c r="AL22" s="36">
        <v>896.72740928208202</v>
      </c>
      <c r="AM22" s="36">
        <v>896.72740928208202</v>
      </c>
      <c r="AN22" s="36">
        <v>896.72740928208202</v>
      </c>
      <c r="AO22" s="36">
        <v>896.72740928208202</v>
      </c>
      <c r="AP22" s="36">
        <v>896.72740928208202</v>
      </c>
      <c r="AQ22" s="36">
        <v>896.72740928208202</v>
      </c>
      <c r="AR22" s="36">
        <v>896.72740928208202</v>
      </c>
      <c r="AS22" s="47">
        <f t="shared" si="2"/>
        <v>10760.728911384984</v>
      </c>
      <c r="AT22" s="26">
        <v>847.04339264626151</v>
      </c>
      <c r="AU22" s="26">
        <v>847.04339264626151</v>
      </c>
      <c r="AV22" s="26">
        <v>847.04339264626151</v>
      </c>
      <c r="AW22" s="26">
        <v>847.04339264626151</v>
      </c>
      <c r="AX22" s="26">
        <v>847.04339264626151</v>
      </c>
      <c r="AY22" s="26">
        <v>847.04339264626151</v>
      </c>
      <c r="AZ22" s="26">
        <v>847.04339264626151</v>
      </c>
      <c r="BA22" s="26">
        <v>847.04339264626151</v>
      </c>
      <c r="BB22" s="26">
        <v>847.04339264626151</v>
      </c>
      <c r="BC22" s="26">
        <v>847.04339264626151</v>
      </c>
      <c r="BD22" s="26">
        <v>847.04339264626151</v>
      </c>
      <c r="BE22" s="26">
        <v>847.04339264626151</v>
      </c>
      <c r="BF22" s="56">
        <f t="shared" si="3"/>
        <v>10164.520711755134</v>
      </c>
      <c r="BG22" s="26">
        <v>800.11216518975823</v>
      </c>
      <c r="BH22" s="26">
        <v>800.11216518975823</v>
      </c>
      <c r="BI22" s="26">
        <v>800.11216518975823</v>
      </c>
      <c r="BJ22" s="26">
        <v>800.11216518975823</v>
      </c>
      <c r="BK22" s="26">
        <v>800.11216518975823</v>
      </c>
      <c r="BL22" s="26">
        <v>800.11216518975823</v>
      </c>
      <c r="BM22" s="26">
        <v>800.11216518975823</v>
      </c>
      <c r="BN22" s="26">
        <v>800.11216518975823</v>
      </c>
      <c r="BO22" s="26">
        <v>800.11216518975823</v>
      </c>
      <c r="BP22" s="26">
        <v>800.11216518975823</v>
      </c>
      <c r="BQ22" s="26">
        <v>800.11216518975823</v>
      </c>
      <c r="BR22" s="26">
        <v>800.11216518975823</v>
      </c>
      <c r="BS22" s="55">
        <f t="shared" si="4"/>
        <v>9601.3459822770983</v>
      </c>
      <c r="BT22" s="39">
        <v>755.78120606625362</v>
      </c>
      <c r="BU22" s="39">
        <v>755.78120606625362</v>
      </c>
      <c r="BV22" s="39">
        <v>755.78120606625362</v>
      </c>
      <c r="BW22" s="39">
        <v>755.78120606625362</v>
      </c>
      <c r="BX22" s="39">
        <v>755.78120606625362</v>
      </c>
      <c r="BY22" s="39">
        <v>755.78120606625362</v>
      </c>
      <c r="BZ22" s="39">
        <v>755.78120606625362</v>
      </c>
      <c r="CA22" s="39">
        <v>755.78120606625362</v>
      </c>
      <c r="CB22" s="39">
        <v>755.78120606625362</v>
      </c>
      <c r="CC22" s="39">
        <v>755.78120606625362</v>
      </c>
      <c r="CD22" s="39">
        <v>755.78120606625362</v>
      </c>
      <c r="CE22" s="39">
        <v>755.78120606625362</v>
      </c>
      <c r="CF22" s="54">
        <f t="shared" si="5"/>
        <v>9069.3744727950434</v>
      </c>
      <c r="CG22" s="39">
        <v>755.78120606625362</v>
      </c>
      <c r="CH22" s="39">
        <v>755.78120606625362</v>
      </c>
      <c r="CI22" s="39">
        <v>755.78120606625362</v>
      </c>
      <c r="CJ22" s="39">
        <v>755.78120606625362</v>
      </c>
      <c r="CK22" s="39">
        <v>755.78120606625362</v>
      </c>
      <c r="CL22" s="39">
        <v>755.78120606625362</v>
      </c>
      <c r="CM22" s="39">
        <v>755.78120606625362</v>
      </c>
      <c r="CN22" s="39">
        <v>755.78120606625362</v>
      </c>
      <c r="CO22" s="39">
        <v>755.78120606625362</v>
      </c>
      <c r="CP22" s="39">
        <v>755.78120606625362</v>
      </c>
      <c r="CQ22" s="39">
        <v>755.78120606625362</v>
      </c>
      <c r="CR22" s="39">
        <v>755.78120606625362</v>
      </c>
      <c r="CS22" s="54">
        <f t="shared" si="6"/>
        <v>9069.3744727950434</v>
      </c>
    </row>
    <row r="23" spans="1:97" x14ac:dyDescent="0.15">
      <c r="B23" s="22" t="s">
        <v>14</v>
      </c>
      <c r="D23" s="25">
        <v>15</v>
      </c>
      <c r="E23" s="47">
        <v>1820</v>
      </c>
      <c r="F23" s="47">
        <v>136</v>
      </c>
      <c r="G23" s="58">
        <f t="shared" ref="G23:R23" si="25">$F$23/12</f>
        <v>11.333333333333334</v>
      </c>
      <c r="H23" s="58">
        <f t="shared" si="25"/>
        <v>11.333333333333334</v>
      </c>
      <c r="I23" s="58">
        <f t="shared" si="25"/>
        <v>11.333333333333334</v>
      </c>
      <c r="J23" s="58">
        <f t="shared" si="25"/>
        <v>11.333333333333334</v>
      </c>
      <c r="K23" s="58">
        <f t="shared" si="25"/>
        <v>11.333333333333334</v>
      </c>
      <c r="L23" s="58">
        <f t="shared" si="25"/>
        <v>11.333333333333334</v>
      </c>
      <c r="M23" s="58">
        <f t="shared" si="25"/>
        <v>11.333333333333334</v>
      </c>
      <c r="N23" s="58">
        <f t="shared" si="25"/>
        <v>11.333333333333334</v>
      </c>
      <c r="O23" s="58">
        <f t="shared" si="25"/>
        <v>11.333333333333334</v>
      </c>
      <c r="P23" s="58">
        <f t="shared" si="25"/>
        <v>11.333333333333334</v>
      </c>
      <c r="Q23" s="58">
        <f t="shared" si="25"/>
        <v>11.333333333333334</v>
      </c>
      <c r="R23" s="58">
        <f t="shared" si="25"/>
        <v>11.333333333333334</v>
      </c>
      <c r="S23" s="47">
        <f t="shared" si="0"/>
        <v>135.99999999999997</v>
      </c>
      <c r="T23" s="58">
        <f t="shared" ref="T23:AE23" si="26">$F$23/12</f>
        <v>11.333333333333334</v>
      </c>
      <c r="U23" s="58">
        <f t="shared" si="26"/>
        <v>11.333333333333334</v>
      </c>
      <c r="V23" s="58">
        <f t="shared" si="26"/>
        <v>11.333333333333334</v>
      </c>
      <c r="W23" s="58">
        <f t="shared" si="26"/>
        <v>11.333333333333334</v>
      </c>
      <c r="X23" s="58">
        <f t="shared" si="26"/>
        <v>11.333333333333334</v>
      </c>
      <c r="Y23" s="58">
        <f t="shared" si="26"/>
        <v>11.333333333333334</v>
      </c>
      <c r="Z23" s="58">
        <f t="shared" si="26"/>
        <v>11.333333333333334</v>
      </c>
      <c r="AA23" s="58">
        <f t="shared" si="26"/>
        <v>11.333333333333334</v>
      </c>
      <c r="AB23" s="58">
        <f t="shared" si="26"/>
        <v>11.333333333333334</v>
      </c>
      <c r="AC23" s="58">
        <f t="shared" si="26"/>
        <v>11.333333333333334</v>
      </c>
      <c r="AD23" s="58">
        <f t="shared" si="26"/>
        <v>11.333333333333334</v>
      </c>
      <c r="AE23" s="58">
        <f t="shared" si="26"/>
        <v>11.333333333333334</v>
      </c>
      <c r="AF23" s="47">
        <f t="shared" si="1"/>
        <v>135.99999999999997</v>
      </c>
      <c r="AG23" s="58">
        <f t="shared" ref="AG23:AR23" si="27">$F$23/12</f>
        <v>11.333333333333334</v>
      </c>
      <c r="AH23" s="58">
        <f t="shared" si="27"/>
        <v>11.333333333333334</v>
      </c>
      <c r="AI23" s="58">
        <f t="shared" si="27"/>
        <v>11.333333333333334</v>
      </c>
      <c r="AJ23" s="58">
        <f t="shared" si="27"/>
        <v>11.333333333333334</v>
      </c>
      <c r="AK23" s="58">
        <f t="shared" si="27"/>
        <v>11.333333333333334</v>
      </c>
      <c r="AL23" s="58">
        <f t="shared" si="27"/>
        <v>11.333333333333334</v>
      </c>
      <c r="AM23" s="58">
        <f t="shared" si="27"/>
        <v>11.333333333333334</v>
      </c>
      <c r="AN23" s="58">
        <f t="shared" si="27"/>
        <v>11.333333333333334</v>
      </c>
      <c r="AO23" s="58">
        <f t="shared" si="27"/>
        <v>11.333333333333334</v>
      </c>
      <c r="AP23" s="58">
        <f t="shared" si="27"/>
        <v>11.333333333333334</v>
      </c>
      <c r="AQ23" s="58">
        <f t="shared" si="27"/>
        <v>11.333333333333334</v>
      </c>
      <c r="AR23" s="58">
        <f t="shared" si="27"/>
        <v>11.333333333333334</v>
      </c>
      <c r="AS23" s="47">
        <f t="shared" si="2"/>
        <v>135.99999999999997</v>
      </c>
      <c r="AT23" s="57">
        <f t="shared" ref="AT23:BE23" si="28">$F$23/12</f>
        <v>11.333333333333334</v>
      </c>
      <c r="AU23" s="57">
        <f t="shared" si="28"/>
        <v>11.333333333333334</v>
      </c>
      <c r="AV23" s="57">
        <f t="shared" si="28"/>
        <v>11.333333333333334</v>
      </c>
      <c r="AW23" s="57">
        <f t="shared" si="28"/>
        <v>11.333333333333334</v>
      </c>
      <c r="AX23" s="57">
        <f t="shared" si="28"/>
        <v>11.333333333333334</v>
      </c>
      <c r="AY23" s="57">
        <f t="shared" si="28"/>
        <v>11.333333333333334</v>
      </c>
      <c r="AZ23" s="57">
        <f t="shared" si="28"/>
        <v>11.333333333333334</v>
      </c>
      <c r="BA23" s="57">
        <f t="shared" si="28"/>
        <v>11.333333333333334</v>
      </c>
      <c r="BB23" s="57">
        <f t="shared" si="28"/>
        <v>11.333333333333334</v>
      </c>
      <c r="BC23" s="57">
        <f t="shared" si="28"/>
        <v>11.333333333333334</v>
      </c>
      <c r="BD23" s="57">
        <f t="shared" si="28"/>
        <v>11.333333333333334</v>
      </c>
      <c r="BE23" s="57">
        <f t="shared" si="28"/>
        <v>11.333333333333334</v>
      </c>
      <c r="BF23" s="56">
        <f t="shared" si="3"/>
        <v>135.99999999999997</v>
      </c>
      <c r="BG23" s="57">
        <f t="shared" ref="BG23:BR23" si="29">$F$23/12</f>
        <v>11.333333333333334</v>
      </c>
      <c r="BH23" s="57">
        <f t="shared" si="29"/>
        <v>11.333333333333334</v>
      </c>
      <c r="BI23" s="57">
        <f t="shared" si="29"/>
        <v>11.333333333333334</v>
      </c>
      <c r="BJ23" s="57">
        <f t="shared" si="29"/>
        <v>11.333333333333334</v>
      </c>
      <c r="BK23" s="57">
        <f t="shared" si="29"/>
        <v>11.333333333333334</v>
      </c>
      <c r="BL23" s="57">
        <f t="shared" si="29"/>
        <v>11.333333333333334</v>
      </c>
      <c r="BM23" s="57">
        <f t="shared" si="29"/>
        <v>11.333333333333334</v>
      </c>
      <c r="BN23" s="57">
        <f t="shared" si="29"/>
        <v>11.333333333333334</v>
      </c>
      <c r="BO23" s="57">
        <f t="shared" si="29"/>
        <v>11.333333333333334</v>
      </c>
      <c r="BP23" s="57">
        <f t="shared" si="29"/>
        <v>11.333333333333334</v>
      </c>
      <c r="BQ23" s="57">
        <f t="shared" si="29"/>
        <v>11.333333333333334</v>
      </c>
      <c r="BR23" s="57">
        <f t="shared" si="29"/>
        <v>11.333333333333334</v>
      </c>
      <c r="BS23" s="55">
        <f t="shared" si="4"/>
        <v>135.99999999999997</v>
      </c>
      <c r="BT23" s="38">
        <v>11.333333333333334</v>
      </c>
      <c r="BU23" s="38">
        <v>11.333333333333334</v>
      </c>
      <c r="BV23" s="38">
        <v>11.333333333333334</v>
      </c>
      <c r="BW23" s="38">
        <v>11.333333333333334</v>
      </c>
      <c r="BX23" s="38">
        <v>11.333333333333334</v>
      </c>
      <c r="BY23" s="38">
        <v>11.333333333333334</v>
      </c>
      <c r="BZ23" s="38">
        <v>11.333333333333334</v>
      </c>
      <c r="CA23" s="38">
        <v>11.333333333333334</v>
      </c>
      <c r="CB23" s="38">
        <v>11.333333333333334</v>
      </c>
      <c r="CC23" s="38">
        <v>11.333333333333334</v>
      </c>
      <c r="CD23" s="38">
        <v>11.333333333333334</v>
      </c>
      <c r="CE23" s="38">
        <v>11.333333333333334</v>
      </c>
      <c r="CF23" s="54">
        <f t="shared" si="5"/>
        <v>135.99999999999997</v>
      </c>
      <c r="CG23" s="38">
        <f t="shared" ref="CG23:CR23" si="30">$F$23/12</f>
        <v>11.333333333333334</v>
      </c>
      <c r="CH23" s="38">
        <f t="shared" si="30"/>
        <v>11.333333333333334</v>
      </c>
      <c r="CI23" s="38">
        <f t="shared" si="30"/>
        <v>11.333333333333334</v>
      </c>
      <c r="CJ23" s="38">
        <f t="shared" si="30"/>
        <v>11.333333333333334</v>
      </c>
      <c r="CK23" s="38">
        <f t="shared" si="30"/>
        <v>11.333333333333334</v>
      </c>
      <c r="CL23" s="38">
        <f t="shared" si="30"/>
        <v>11.333333333333334</v>
      </c>
      <c r="CM23" s="38">
        <f t="shared" si="30"/>
        <v>11.333333333333334</v>
      </c>
      <c r="CN23" s="38">
        <f t="shared" si="30"/>
        <v>11.333333333333334</v>
      </c>
      <c r="CO23" s="38">
        <f t="shared" si="30"/>
        <v>11.333333333333334</v>
      </c>
      <c r="CP23" s="38">
        <f t="shared" si="30"/>
        <v>11.333333333333334</v>
      </c>
      <c r="CQ23" s="38">
        <f t="shared" si="30"/>
        <v>11.333333333333334</v>
      </c>
      <c r="CR23" s="38">
        <f t="shared" si="30"/>
        <v>11.333333333333334</v>
      </c>
      <c r="CS23" s="54">
        <f t="shared" si="6"/>
        <v>135.99999999999997</v>
      </c>
    </row>
    <row r="24" spans="1:97" x14ac:dyDescent="0.15">
      <c r="B24" s="22" t="s">
        <v>15</v>
      </c>
      <c r="D24" s="25"/>
      <c r="E24" s="47">
        <f t="shared" ref="E24:R24" si="31">E11+E12+E21+E22+E23</f>
        <v>116057</v>
      </c>
      <c r="F24" s="47">
        <f t="shared" si="31"/>
        <v>103330.44597</v>
      </c>
      <c r="G24" s="36">
        <f t="shared" si="31"/>
        <v>11498.831083201423</v>
      </c>
      <c r="H24" s="36">
        <f t="shared" si="31"/>
        <v>11983.261260511421</v>
      </c>
      <c r="I24" s="36">
        <f t="shared" si="31"/>
        <v>10683.547601591425</v>
      </c>
      <c r="J24" s="36">
        <f t="shared" si="31"/>
        <v>8910.3460225714207</v>
      </c>
      <c r="K24" s="36">
        <f t="shared" si="31"/>
        <v>7182.8151282414201</v>
      </c>
      <c r="L24" s="36">
        <f t="shared" si="31"/>
        <v>6247.7049137914219</v>
      </c>
      <c r="M24" s="36">
        <f t="shared" si="31"/>
        <v>5558.1920976020874</v>
      </c>
      <c r="N24" s="36">
        <f t="shared" si="31"/>
        <v>5674.316886926088</v>
      </c>
      <c r="O24" s="36">
        <f t="shared" si="31"/>
        <v>6158.3559626490878</v>
      </c>
      <c r="P24" s="36">
        <f t="shared" si="31"/>
        <v>8000.9947647720883</v>
      </c>
      <c r="Q24" s="36">
        <f t="shared" si="31"/>
        <v>11222.42078086509</v>
      </c>
      <c r="R24" s="36">
        <f t="shared" si="31"/>
        <v>12166.258924960091</v>
      </c>
      <c r="S24" s="47">
        <f t="shared" si="0"/>
        <v>105287.04542768306</v>
      </c>
      <c r="T24" s="36">
        <f t="shared" ref="T24:AE24" si="32">T11+T12+T21+T22+T23</f>
        <v>13425.410081470711</v>
      </c>
      <c r="U24" s="36">
        <f t="shared" si="32"/>
        <v>10177.130518680713</v>
      </c>
      <c r="V24" s="36">
        <f t="shared" si="32"/>
        <v>9765.1264036037137</v>
      </c>
      <c r="W24" s="36">
        <f t="shared" si="32"/>
        <v>8683.2355458957154</v>
      </c>
      <c r="X24" s="36">
        <f t="shared" si="32"/>
        <v>7399.2871375147133</v>
      </c>
      <c r="Y24" s="36">
        <f t="shared" si="32"/>
        <v>6200.595824137712</v>
      </c>
      <c r="Z24" s="36">
        <f t="shared" si="32"/>
        <v>5353.8283515380463</v>
      </c>
      <c r="AA24" s="36">
        <f t="shared" si="32"/>
        <v>5374.0220808640452</v>
      </c>
      <c r="AB24" s="36">
        <f t="shared" si="32"/>
        <v>5986.454531324046</v>
      </c>
      <c r="AC24" s="36">
        <f t="shared" si="32"/>
        <v>8118.1827317840462</v>
      </c>
      <c r="AD24" s="36">
        <f t="shared" si="32"/>
        <v>10410.921687204047</v>
      </c>
      <c r="AE24" s="36">
        <f t="shared" si="32"/>
        <v>12664.308417684046</v>
      </c>
      <c r="AF24" s="47">
        <f t="shared" si="1"/>
        <v>103558.50331170157</v>
      </c>
      <c r="AG24" s="36">
        <f t="shared" ref="AG24:AR24" si="33">AG11+AG12+AG21+AG22+AG23</f>
        <v>14049.05310053975</v>
      </c>
      <c r="AH24" s="36">
        <f t="shared" si="33"/>
        <v>10678.38824530475</v>
      </c>
      <c r="AI24" s="36">
        <f t="shared" si="33"/>
        <v>11055.78207713675</v>
      </c>
      <c r="AJ24" s="36">
        <f t="shared" si="33"/>
        <v>9816.8879388687492</v>
      </c>
      <c r="AK24" s="36">
        <f t="shared" si="33"/>
        <v>7662.3913109577479</v>
      </c>
      <c r="AL24" s="36">
        <f t="shared" si="33"/>
        <v>7071.610486348749</v>
      </c>
      <c r="AM24" s="36">
        <f t="shared" si="33"/>
        <v>5789.9042718487481</v>
      </c>
      <c r="AN24" s="36">
        <f t="shared" si="33"/>
        <v>5158.2100518487487</v>
      </c>
      <c r="AO24" s="36">
        <f t="shared" si="33"/>
        <v>5951.5019994487484</v>
      </c>
      <c r="AP24" s="36">
        <f t="shared" si="33"/>
        <v>8494.3807335487509</v>
      </c>
      <c r="AQ24" s="36">
        <f t="shared" si="33"/>
        <v>9134.9663627487516</v>
      </c>
      <c r="AR24" s="36">
        <f t="shared" si="33"/>
        <v>13990.558504448753</v>
      </c>
      <c r="AS24" s="47">
        <f t="shared" si="2"/>
        <v>108853.63508304898</v>
      </c>
      <c r="AT24" s="26">
        <f t="shared" ref="AT24:BE24" si="34">AT11+AT12+AT21+AT22+AT23</f>
        <v>12728.787125612927</v>
      </c>
      <c r="AU24" s="26">
        <f t="shared" si="34"/>
        <v>11017.966025012931</v>
      </c>
      <c r="AV24" s="26">
        <f t="shared" si="34"/>
        <v>11563.96534001293</v>
      </c>
      <c r="AW24" s="26">
        <f t="shared" si="34"/>
        <v>8966.1672309129299</v>
      </c>
      <c r="AX24" s="26">
        <f t="shared" si="34"/>
        <v>7736.1157590129287</v>
      </c>
      <c r="AY24" s="26">
        <f t="shared" si="34"/>
        <v>6130.1377302129267</v>
      </c>
      <c r="AZ24" s="26">
        <f t="shared" si="34"/>
        <v>5738.5610727129288</v>
      </c>
      <c r="BA24" s="26">
        <f t="shared" si="34"/>
        <v>5121.087097112927</v>
      </c>
      <c r="BB24" s="26">
        <f t="shared" si="34"/>
        <v>5474.1608587129276</v>
      </c>
      <c r="BC24" s="26">
        <f t="shared" si="34"/>
        <v>7612.3474642129286</v>
      </c>
      <c r="BD24" s="26">
        <f t="shared" si="34"/>
        <v>9002.5257434129289</v>
      </c>
      <c r="BE24" s="26">
        <f t="shared" si="34"/>
        <v>12600.148386042929</v>
      </c>
      <c r="BF24" s="56">
        <f t="shared" si="3"/>
        <v>103691.96983298515</v>
      </c>
      <c r="BG24" s="26">
        <f t="shared" ref="BG24:BR24" si="35">BG11+BG12+BG21+BG22+BG23</f>
        <v>9925.819535456425</v>
      </c>
      <c r="BH24" s="26">
        <f t="shared" si="35"/>
        <v>9061.3718380564242</v>
      </c>
      <c r="BI24" s="26">
        <f t="shared" si="35"/>
        <v>9399.2013081564255</v>
      </c>
      <c r="BJ24" s="26">
        <f t="shared" si="35"/>
        <v>8500.8520906564245</v>
      </c>
      <c r="BK24" s="26">
        <f t="shared" si="35"/>
        <v>7933.8225502564255</v>
      </c>
      <c r="BL24" s="26">
        <f t="shared" si="35"/>
        <v>6741.7890786564249</v>
      </c>
      <c r="BM24" s="26">
        <f t="shared" si="35"/>
        <v>5702.9777377564251</v>
      </c>
      <c r="BN24" s="26">
        <f t="shared" si="35"/>
        <v>5214.496511256425</v>
      </c>
      <c r="BO24" s="26">
        <f t="shared" si="35"/>
        <v>5516.7960043564253</v>
      </c>
      <c r="BP24" s="26">
        <f t="shared" si="35"/>
        <v>7389.5783800564241</v>
      </c>
      <c r="BQ24" s="26">
        <f t="shared" si="35"/>
        <v>9999.978400906426</v>
      </c>
      <c r="BR24" s="26">
        <f t="shared" si="35"/>
        <v>10830.526619256423</v>
      </c>
      <c r="BS24" s="55">
        <f t="shared" si="4"/>
        <v>96217.210054827097</v>
      </c>
      <c r="BT24" s="39">
        <v>11165.061176332923</v>
      </c>
      <c r="BU24" s="39">
        <v>11212.99180813792</v>
      </c>
      <c r="BV24" s="39">
        <v>10087.662421232921</v>
      </c>
      <c r="BW24" s="39">
        <v>9201.9706388329196</v>
      </c>
      <c r="BX24" s="39">
        <v>7333.0734244329205</v>
      </c>
      <c r="BY24" s="39">
        <v>5985.17612323292</v>
      </c>
      <c r="BZ24" s="39">
        <v>5477.5431651329209</v>
      </c>
      <c r="CA24" s="39">
        <v>5120.2564089329198</v>
      </c>
      <c r="CB24" s="39">
        <v>5214.3611909329202</v>
      </c>
      <c r="CC24" s="39">
        <v>7573.67717373292</v>
      </c>
      <c r="CD24" s="39">
        <v>9886.0560453329217</v>
      </c>
      <c r="CE24" s="39">
        <v>11155.07772633292</v>
      </c>
      <c r="CF24" s="54">
        <f t="shared" si="5"/>
        <v>99412.907302600055</v>
      </c>
      <c r="CG24" s="38">
        <f t="shared" ref="CG24:CR24" si="36">CG11+CG12+CG21+CG22+CG23</f>
        <v>769.44787273292036</v>
      </c>
      <c r="CH24" s="38">
        <f t="shared" si="36"/>
        <v>769.44787273292036</v>
      </c>
      <c r="CI24" s="38">
        <f t="shared" si="36"/>
        <v>769.44787273292036</v>
      </c>
      <c r="CJ24" s="38">
        <f t="shared" si="36"/>
        <v>769.44787273292036</v>
      </c>
      <c r="CK24" s="38">
        <f t="shared" si="36"/>
        <v>769.44787273292036</v>
      </c>
      <c r="CL24" s="38">
        <f t="shared" si="36"/>
        <v>769.44787273292036</v>
      </c>
      <c r="CM24" s="38">
        <f t="shared" si="36"/>
        <v>769.44787273292036</v>
      </c>
      <c r="CN24" s="38">
        <f t="shared" si="36"/>
        <v>769.44787273292036</v>
      </c>
      <c r="CO24" s="38">
        <f t="shared" si="36"/>
        <v>769.44787273292036</v>
      </c>
      <c r="CP24" s="38">
        <f t="shared" si="36"/>
        <v>769.44787273292036</v>
      </c>
      <c r="CQ24" s="38">
        <f t="shared" si="36"/>
        <v>769.44787273292036</v>
      </c>
      <c r="CR24" s="38">
        <f t="shared" si="36"/>
        <v>769.44787273292036</v>
      </c>
      <c r="CS24" s="54">
        <f t="shared" si="6"/>
        <v>9233.3744727950452</v>
      </c>
    </row>
    <row r="25" spans="1:97" x14ac:dyDescent="0.15">
      <c r="D25" s="25"/>
      <c r="E25" s="47"/>
      <c r="F25" s="47"/>
      <c r="G25" s="36"/>
      <c r="H25" s="35"/>
      <c r="I25" s="35"/>
      <c r="J25" s="35"/>
      <c r="K25" s="35"/>
      <c r="L25" s="35"/>
      <c r="M25" s="35"/>
      <c r="N25" s="35"/>
      <c r="O25" s="35"/>
      <c r="P25" s="35"/>
      <c r="Q25" s="35"/>
      <c r="R25" s="36"/>
      <c r="S25" s="36"/>
      <c r="T25" s="36"/>
      <c r="U25" s="36"/>
      <c r="V25" s="36"/>
      <c r="W25" s="36"/>
      <c r="X25" s="36"/>
      <c r="Y25" s="36"/>
      <c r="Z25" s="36"/>
      <c r="AA25" s="36"/>
      <c r="AB25" s="36"/>
      <c r="AC25" s="36"/>
      <c r="AD25" s="36"/>
      <c r="AE25" s="36"/>
      <c r="AF25" s="32"/>
      <c r="AG25" s="36"/>
      <c r="AH25" s="36"/>
      <c r="AI25" s="36"/>
      <c r="AJ25" s="36"/>
      <c r="AK25" s="36"/>
      <c r="AL25" s="36"/>
      <c r="AM25" s="36"/>
      <c r="AN25" s="36"/>
      <c r="AO25" s="36"/>
      <c r="AP25" s="36"/>
      <c r="AQ25" s="36"/>
      <c r="AR25" s="36"/>
      <c r="AS25" s="32"/>
      <c r="AT25" s="26"/>
      <c r="AU25" s="26"/>
      <c r="AV25" s="26"/>
      <c r="AW25" s="26"/>
      <c r="AX25" s="26"/>
      <c r="AY25" s="26"/>
      <c r="AZ25" s="26"/>
      <c r="BA25" s="26"/>
      <c r="BB25" s="26"/>
      <c r="BC25" s="26"/>
      <c r="BD25" s="26"/>
      <c r="BE25" s="26"/>
      <c r="BF25" s="73"/>
      <c r="BG25" s="26"/>
      <c r="BH25" s="26"/>
      <c r="BI25" s="26"/>
      <c r="BJ25" s="26"/>
      <c r="BK25" s="26"/>
      <c r="BL25" s="26"/>
      <c r="BM25" s="26"/>
      <c r="BN25" s="26"/>
      <c r="BO25" s="26"/>
      <c r="BP25" s="26"/>
      <c r="BQ25" s="26"/>
      <c r="BR25" s="26"/>
      <c r="BS25" s="72"/>
      <c r="BT25" s="38"/>
      <c r="BU25" s="38"/>
      <c r="BV25" s="38"/>
      <c r="BW25" s="38"/>
      <c r="BX25" s="38"/>
      <c r="BY25" s="38"/>
      <c r="BZ25" s="38"/>
      <c r="CA25" s="38"/>
      <c r="CB25" s="38"/>
      <c r="CC25" s="38"/>
      <c r="CD25" s="38"/>
      <c r="CE25" s="38"/>
      <c r="CG25" s="38"/>
      <c r="CH25" s="38"/>
      <c r="CI25" s="38"/>
      <c r="CJ25" s="38"/>
      <c r="CK25" s="38"/>
      <c r="CL25" s="38"/>
      <c r="CM25" s="38"/>
      <c r="CN25" s="38"/>
      <c r="CO25" s="38"/>
      <c r="CP25" s="38"/>
      <c r="CQ25" s="38"/>
      <c r="CR25" s="38"/>
    </row>
    <row r="26" spans="1:97" x14ac:dyDescent="0.15">
      <c r="A26" s="22" t="s">
        <v>16</v>
      </c>
      <c r="B26" s="22" t="s">
        <v>3</v>
      </c>
      <c r="D26" s="25">
        <v>12</v>
      </c>
      <c r="E26" s="47">
        <v>341</v>
      </c>
      <c r="F26" s="47">
        <v>699</v>
      </c>
      <c r="G26" s="52">
        <v>93.120900000000006</v>
      </c>
      <c r="H26" s="52">
        <v>82.633600000000001</v>
      </c>
      <c r="I26" s="52">
        <v>71.065950000000001</v>
      </c>
      <c r="J26" s="52">
        <v>52.963500000000003</v>
      </c>
      <c r="K26" s="52">
        <v>41.659350000000003</v>
      </c>
      <c r="L26" s="52">
        <v>34.781999999999996</v>
      </c>
      <c r="M26" s="52">
        <v>32.766751999999997</v>
      </c>
      <c r="N26" s="52">
        <v>31.754121500000004</v>
      </c>
      <c r="O26" s="52">
        <v>39.80183310000001</v>
      </c>
      <c r="P26" s="52">
        <v>65.563648400000005</v>
      </c>
      <c r="Q26" s="52">
        <v>122.70019790000001</v>
      </c>
      <c r="R26" s="52">
        <v>137.43216670000001</v>
      </c>
      <c r="S26" s="47">
        <f>SUM(G26:R26)</f>
        <v>806.24401960000012</v>
      </c>
      <c r="T26" s="52">
        <v>145.17316430000002</v>
      </c>
      <c r="U26" s="52">
        <v>123.16369440000001</v>
      </c>
      <c r="V26" s="52">
        <v>92.549526599999993</v>
      </c>
      <c r="W26" s="52">
        <v>109.96482130000003</v>
      </c>
      <c r="X26" s="52">
        <v>63.478203999999998</v>
      </c>
      <c r="Y26" s="52">
        <v>51.235203499999997</v>
      </c>
      <c r="Z26" s="52">
        <v>51.812742800000002</v>
      </c>
      <c r="AA26" s="52">
        <v>58.618737000000003</v>
      </c>
      <c r="AB26" s="52">
        <v>65.305049499999996</v>
      </c>
      <c r="AC26" s="52">
        <v>75.083007499999994</v>
      </c>
      <c r="AD26" s="52">
        <v>117.84747649999998</v>
      </c>
      <c r="AE26" s="52">
        <v>144.98202140000001</v>
      </c>
      <c r="AF26" s="47">
        <f>SUM(T26:AE26)</f>
        <v>1099.2136488000001</v>
      </c>
      <c r="AG26" s="52">
        <v>151.59761050000003</v>
      </c>
      <c r="AH26" s="52">
        <v>137.94325130000001</v>
      </c>
      <c r="AI26" s="52">
        <v>124.09237379999998</v>
      </c>
      <c r="AJ26" s="52">
        <v>101.7481535</v>
      </c>
      <c r="AK26" s="52">
        <v>74.826147700000007</v>
      </c>
      <c r="AL26" s="52">
        <v>65.0723263</v>
      </c>
      <c r="AM26" s="52">
        <v>56.335825699999994</v>
      </c>
      <c r="AN26" s="52">
        <v>56.411081300000014</v>
      </c>
      <c r="AO26" s="52">
        <v>55.317609000000004</v>
      </c>
      <c r="AP26" s="52">
        <v>93.531960000000012</v>
      </c>
      <c r="AQ26" s="52">
        <v>109.43155</v>
      </c>
      <c r="AR26" s="52">
        <v>205.83565999999999</v>
      </c>
      <c r="AS26" s="47">
        <f>SUM(AG26:AR26)</f>
        <v>1232.1435491</v>
      </c>
      <c r="AT26" s="39">
        <v>156.43467999999999</v>
      </c>
      <c r="AU26" s="39">
        <v>145.66807000000003</v>
      </c>
      <c r="AV26" s="39">
        <v>140.93561</v>
      </c>
      <c r="AW26" s="39">
        <v>101.40534</v>
      </c>
      <c r="AX26" s="39">
        <v>71.529710000000009</v>
      </c>
      <c r="AY26" s="39">
        <v>60.320420000000006</v>
      </c>
      <c r="AZ26" s="39">
        <v>49.464219999999997</v>
      </c>
      <c r="BA26" s="39">
        <v>55.835650000000001</v>
      </c>
      <c r="BB26" s="39">
        <v>68.58905</v>
      </c>
      <c r="BC26" s="39">
        <v>89.184104599999998</v>
      </c>
      <c r="BD26" s="39">
        <v>139.9202391</v>
      </c>
      <c r="BE26" s="39">
        <v>186.71936740000004</v>
      </c>
      <c r="BF26" s="56">
        <f>SUM(AT26:BE26)</f>
        <v>1266.0064611</v>
      </c>
      <c r="BG26" s="39">
        <v>129.55065614400002</v>
      </c>
      <c r="BH26" s="39">
        <v>115.42201749700001</v>
      </c>
      <c r="BI26" s="39">
        <v>128.91322487500003</v>
      </c>
      <c r="BJ26" s="39">
        <v>101.32648709800002</v>
      </c>
      <c r="BK26" s="39">
        <v>76.278724123999993</v>
      </c>
      <c r="BL26" s="39">
        <v>69.539389100000008</v>
      </c>
      <c r="BM26" s="39">
        <v>24.302072730000003</v>
      </c>
      <c r="BN26" s="39">
        <v>13.442331289999998</v>
      </c>
      <c r="BO26" s="39">
        <v>61.298479300000004</v>
      </c>
      <c r="BP26" s="39">
        <v>88.831805100000011</v>
      </c>
      <c r="BQ26" s="39">
        <v>123.87382690000001</v>
      </c>
      <c r="BR26" s="39">
        <v>192.68816939999999</v>
      </c>
      <c r="BS26" s="55">
        <f>SUM(BG26:BR26)</f>
        <v>1125.4671835580002</v>
      </c>
      <c r="BT26" s="39">
        <v>139.01205999999999</v>
      </c>
      <c r="BU26" s="39">
        <v>157.33058</v>
      </c>
      <c r="BV26" s="39">
        <v>105.75309000000001</v>
      </c>
      <c r="BW26" s="39">
        <v>99.724210000000014</v>
      </c>
      <c r="BX26" s="39">
        <v>74.596850000000003</v>
      </c>
      <c r="BY26" s="39">
        <v>52.162460000000003</v>
      </c>
      <c r="BZ26" s="39">
        <v>49.037350000000004</v>
      </c>
      <c r="CA26" s="39">
        <v>41.717320000000001</v>
      </c>
      <c r="CB26" s="39">
        <v>50.34958000000001</v>
      </c>
      <c r="CC26" s="39">
        <v>83.234380000000002</v>
      </c>
      <c r="CD26" s="39">
        <v>149.16735</v>
      </c>
      <c r="CE26" s="39">
        <v>154.56909999999999</v>
      </c>
      <c r="CF26" s="54">
        <f>SUM(BT26:CE26)</f>
        <v>1156.6543300000001</v>
      </c>
      <c r="CG26" s="38">
        <v>0</v>
      </c>
      <c r="CH26" s="38">
        <v>0</v>
      </c>
      <c r="CI26" s="38">
        <v>0</v>
      </c>
      <c r="CJ26" s="38">
        <v>0</v>
      </c>
      <c r="CK26" s="38">
        <v>0</v>
      </c>
      <c r="CL26" s="38">
        <v>0</v>
      </c>
      <c r="CM26" s="38">
        <v>0</v>
      </c>
      <c r="CN26" s="38">
        <v>0</v>
      </c>
      <c r="CO26" s="38">
        <v>0</v>
      </c>
      <c r="CP26" s="38">
        <v>0</v>
      </c>
      <c r="CQ26" s="38">
        <v>0</v>
      </c>
      <c r="CR26" s="38">
        <v>0</v>
      </c>
      <c r="CS26" s="54">
        <f>SUM(CG26:CR26)</f>
        <v>0</v>
      </c>
    </row>
    <row r="27" spans="1:97" x14ac:dyDescent="0.15">
      <c r="B27" s="22" t="s">
        <v>12</v>
      </c>
      <c r="D27" s="25">
        <v>13</v>
      </c>
      <c r="E27" s="47">
        <v>10</v>
      </c>
      <c r="F27" s="47">
        <v>12</v>
      </c>
      <c r="G27" s="36">
        <v>1.2654206549</v>
      </c>
      <c r="H27" s="36">
        <v>1.9249344220000002</v>
      </c>
      <c r="I27" s="36">
        <v>0.60599462410000005</v>
      </c>
      <c r="J27" s="36">
        <v>0.948429403</v>
      </c>
      <c r="K27" s="36">
        <v>1.9389722300000003</v>
      </c>
      <c r="L27" s="36">
        <v>2.1402393022000004</v>
      </c>
      <c r="M27" s="36">
        <v>1.2684914254000004</v>
      </c>
      <c r="N27" s="36">
        <v>2.0926862276000002</v>
      </c>
      <c r="O27" s="36">
        <v>1.2287468815000002</v>
      </c>
      <c r="P27" s="36">
        <v>1.0627498019000001</v>
      </c>
      <c r="Q27" s="36">
        <v>1.6117158309999999</v>
      </c>
      <c r="R27" s="36">
        <v>1.0421317714</v>
      </c>
      <c r="S27" s="47">
        <f>SUM(G27:R27)</f>
        <v>17.130512575000004</v>
      </c>
      <c r="T27" s="36">
        <v>1.0999499931000001</v>
      </c>
      <c r="U27" s="36">
        <v>1.8016649205000002</v>
      </c>
      <c r="V27" s="36">
        <v>0.53940277240000001</v>
      </c>
      <c r="W27" s="36">
        <v>0.83481089450000012</v>
      </c>
      <c r="X27" s="36">
        <v>1.7735893045000004</v>
      </c>
      <c r="Y27" s="36">
        <v>2.0602237966000003</v>
      </c>
      <c r="Z27" s="36">
        <v>1.2811254526000002</v>
      </c>
      <c r="AA27" s="36">
        <v>1.0978443219</v>
      </c>
      <c r="AB27" s="36">
        <v>0.9257934376000001</v>
      </c>
      <c r="AC27" s="36">
        <v>0.97703143680000015</v>
      </c>
      <c r="AD27" s="36">
        <v>1.2725272952</v>
      </c>
      <c r="AE27" s="36">
        <v>1.6487405496</v>
      </c>
      <c r="AF27" s="47">
        <f>SUM(T27:AE27)</f>
        <v>15.3127041753</v>
      </c>
      <c r="AG27" s="36">
        <v>1.0475714220000001</v>
      </c>
      <c r="AH27" s="36">
        <v>0.81173624759999996</v>
      </c>
      <c r="AI27" s="36">
        <v>1.3090255960000001</v>
      </c>
      <c r="AJ27" s="36">
        <v>0.44561266770000008</v>
      </c>
      <c r="AK27" s="36">
        <v>1.4959916513</v>
      </c>
      <c r="AL27" s="36">
        <v>0.26803439650000005</v>
      </c>
      <c r="AM27" s="36">
        <v>0.6536354350000001</v>
      </c>
      <c r="AN27" s="36">
        <v>1.3710551601000003</v>
      </c>
      <c r="AO27" s="36">
        <v>0.55405473449999998</v>
      </c>
      <c r="AP27" s="36">
        <v>0.97703143680000015</v>
      </c>
      <c r="AQ27" s="36">
        <v>1.2725272952</v>
      </c>
      <c r="AR27" s="36">
        <v>1.6487405496</v>
      </c>
      <c r="AS27" s="47">
        <f>SUM(AG27:AR27)</f>
        <v>11.8550165923</v>
      </c>
      <c r="AT27" s="26">
        <v>1.0475714220000001</v>
      </c>
      <c r="AU27" s="26">
        <v>0.81173624759999996</v>
      </c>
      <c r="AV27" s="26">
        <v>1.3090255960000001</v>
      </c>
      <c r="AW27" s="26">
        <v>0.44561266770000008</v>
      </c>
      <c r="AX27" s="26">
        <v>1.4959916513</v>
      </c>
      <c r="AY27" s="26">
        <v>0.26803439650000005</v>
      </c>
      <c r="AZ27" s="26">
        <v>0.6536354350000001</v>
      </c>
      <c r="BA27" s="26">
        <v>1.3710551601000003</v>
      </c>
      <c r="BB27" s="26">
        <v>0.55405473449999998</v>
      </c>
      <c r="BC27" s="26">
        <v>0.97703143680000015</v>
      </c>
      <c r="BD27" s="26">
        <v>1.2725272952</v>
      </c>
      <c r="BE27" s="26">
        <v>1.6487405496</v>
      </c>
      <c r="BF27" s="56">
        <f>SUM(AT27:BE27)</f>
        <v>11.8550165923</v>
      </c>
      <c r="BG27" s="26">
        <v>1.0475714220000001</v>
      </c>
      <c r="BH27" s="26">
        <v>0.81173624759999996</v>
      </c>
      <c r="BI27" s="26">
        <v>1.3090255960000001</v>
      </c>
      <c r="BJ27" s="26">
        <v>0.44561266770000008</v>
      </c>
      <c r="BK27" s="26">
        <v>1.4959916513</v>
      </c>
      <c r="BL27" s="26">
        <v>0.26803439650000005</v>
      </c>
      <c r="BM27" s="26">
        <v>0.6536354350000001</v>
      </c>
      <c r="BN27" s="26">
        <v>1.3710551601000003</v>
      </c>
      <c r="BO27" s="26">
        <v>0.55405473449999998</v>
      </c>
      <c r="BP27" s="26">
        <v>0.97703143680000015</v>
      </c>
      <c r="BQ27" s="26">
        <v>1.2725272952</v>
      </c>
      <c r="BR27" s="26">
        <v>1.6487405496</v>
      </c>
      <c r="BS27" s="55">
        <f>SUM(BG27:BR27)</f>
        <v>11.8550165923</v>
      </c>
      <c r="BT27" s="39">
        <v>1.0475714220000001</v>
      </c>
      <c r="BU27" s="39">
        <v>0.81173624759999996</v>
      </c>
      <c r="BV27" s="39">
        <v>1.3090255960000001</v>
      </c>
      <c r="BW27" s="39">
        <v>0.44561266770000008</v>
      </c>
      <c r="BX27" s="39">
        <v>1.4959916513</v>
      </c>
      <c r="BY27" s="39">
        <v>0.26803439650000005</v>
      </c>
      <c r="BZ27" s="39">
        <v>0.6536354350000001</v>
      </c>
      <c r="CA27" s="39">
        <v>1.3710551601000003</v>
      </c>
      <c r="CB27" s="39">
        <v>0.55405473449999998</v>
      </c>
      <c r="CC27" s="39">
        <v>0.97703143680000015</v>
      </c>
      <c r="CD27" s="39">
        <v>1.2725272952</v>
      </c>
      <c r="CE27" s="39">
        <v>1.6487405496</v>
      </c>
      <c r="CF27" s="54">
        <f>SUM(BT27:CE27)</f>
        <v>11.8550165923</v>
      </c>
      <c r="CG27" s="38">
        <v>0</v>
      </c>
      <c r="CH27" s="38">
        <v>0</v>
      </c>
      <c r="CI27" s="38">
        <v>0</v>
      </c>
      <c r="CJ27" s="38">
        <v>0</v>
      </c>
      <c r="CK27" s="38">
        <v>0</v>
      </c>
      <c r="CL27" s="38">
        <v>0</v>
      </c>
      <c r="CM27" s="38">
        <v>0</v>
      </c>
      <c r="CN27" s="38">
        <v>0</v>
      </c>
      <c r="CO27" s="38">
        <v>0</v>
      </c>
      <c r="CP27" s="38">
        <v>0</v>
      </c>
      <c r="CQ27" s="38">
        <v>0</v>
      </c>
      <c r="CR27" s="38">
        <v>0</v>
      </c>
      <c r="CS27" s="54">
        <f>SUM(CG27:CR27)</f>
        <v>0</v>
      </c>
    </row>
    <row r="28" spans="1:97" x14ac:dyDescent="0.15">
      <c r="B28" s="22" t="s">
        <v>14</v>
      </c>
      <c r="D28" s="25">
        <v>15</v>
      </c>
      <c r="E28" s="47">
        <v>0</v>
      </c>
      <c r="F28" s="47">
        <v>0</v>
      </c>
      <c r="G28" s="58">
        <f t="shared" ref="G28:R28" si="37">$F$28/12</f>
        <v>0</v>
      </c>
      <c r="H28" s="58">
        <f t="shared" si="37"/>
        <v>0</v>
      </c>
      <c r="I28" s="58">
        <f t="shared" si="37"/>
        <v>0</v>
      </c>
      <c r="J28" s="58">
        <f t="shared" si="37"/>
        <v>0</v>
      </c>
      <c r="K28" s="58">
        <f t="shared" si="37"/>
        <v>0</v>
      </c>
      <c r="L28" s="58">
        <f t="shared" si="37"/>
        <v>0</v>
      </c>
      <c r="M28" s="58">
        <f t="shared" si="37"/>
        <v>0</v>
      </c>
      <c r="N28" s="58">
        <f t="shared" si="37"/>
        <v>0</v>
      </c>
      <c r="O28" s="58">
        <f t="shared" si="37"/>
        <v>0</v>
      </c>
      <c r="P28" s="58">
        <f t="shared" si="37"/>
        <v>0</v>
      </c>
      <c r="Q28" s="58">
        <f t="shared" si="37"/>
        <v>0</v>
      </c>
      <c r="R28" s="58">
        <f t="shared" si="37"/>
        <v>0</v>
      </c>
      <c r="S28" s="47">
        <f>SUM(G28:R28)</f>
        <v>0</v>
      </c>
      <c r="T28" s="58">
        <f t="shared" ref="T28:AE28" si="38">$F$28/12</f>
        <v>0</v>
      </c>
      <c r="U28" s="58">
        <f t="shared" si="38"/>
        <v>0</v>
      </c>
      <c r="V28" s="58">
        <f t="shared" si="38"/>
        <v>0</v>
      </c>
      <c r="W28" s="58">
        <f t="shared" si="38"/>
        <v>0</v>
      </c>
      <c r="X28" s="58">
        <f t="shared" si="38"/>
        <v>0</v>
      </c>
      <c r="Y28" s="58">
        <f t="shared" si="38"/>
        <v>0</v>
      </c>
      <c r="Z28" s="58">
        <f t="shared" si="38"/>
        <v>0</v>
      </c>
      <c r="AA28" s="58">
        <f t="shared" si="38"/>
        <v>0</v>
      </c>
      <c r="AB28" s="58">
        <f t="shared" si="38"/>
        <v>0</v>
      </c>
      <c r="AC28" s="58">
        <f t="shared" si="38"/>
        <v>0</v>
      </c>
      <c r="AD28" s="58">
        <f t="shared" si="38"/>
        <v>0</v>
      </c>
      <c r="AE28" s="58">
        <f t="shared" si="38"/>
        <v>0</v>
      </c>
      <c r="AF28" s="47">
        <f>SUM(T28:AE28)</f>
        <v>0</v>
      </c>
      <c r="AG28" s="58">
        <f t="shared" ref="AG28:AR28" si="39">$F$28/12</f>
        <v>0</v>
      </c>
      <c r="AH28" s="58">
        <f t="shared" si="39"/>
        <v>0</v>
      </c>
      <c r="AI28" s="58">
        <f t="shared" si="39"/>
        <v>0</v>
      </c>
      <c r="AJ28" s="58">
        <f t="shared" si="39"/>
        <v>0</v>
      </c>
      <c r="AK28" s="58">
        <f t="shared" si="39"/>
        <v>0</v>
      </c>
      <c r="AL28" s="58">
        <f t="shared" si="39"/>
        <v>0</v>
      </c>
      <c r="AM28" s="58">
        <f t="shared" si="39"/>
        <v>0</v>
      </c>
      <c r="AN28" s="58">
        <f t="shared" si="39"/>
        <v>0</v>
      </c>
      <c r="AO28" s="58">
        <f t="shared" si="39"/>
        <v>0</v>
      </c>
      <c r="AP28" s="58">
        <f t="shared" si="39"/>
        <v>0</v>
      </c>
      <c r="AQ28" s="58">
        <f t="shared" si="39"/>
        <v>0</v>
      </c>
      <c r="AR28" s="58">
        <f t="shared" si="39"/>
        <v>0</v>
      </c>
      <c r="AS28" s="47">
        <f>SUM(AG28:AR28)</f>
        <v>0</v>
      </c>
      <c r="AT28" s="77">
        <v>0</v>
      </c>
      <c r="AU28" s="77">
        <v>0</v>
      </c>
      <c r="AV28" s="77">
        <v>0</v>
      </c>
      <c r="AW28" s="77">
        <v>0</v>
      </c>
      <c r="AX28" s="77">
        <v>0</v>
      </c>
      <c r="AY28" s="77">
        <v>0</v>
      </c>
      <c r="AZ28" s="77">
        <v>0</v>
      </c>
      <c r="BA28" s="77">
        <v>0</v>
      </c>
      <c r="BB28" s="77">
        <v>0</v>
      </c>
      <c r="BC28" s="77">
        <v>0</v>
      </c>
      <c r="BD28" s="77">
        <v>0</v>
      </c>
      <c r="BE28" s="77">
        <v>0</v>
      </c>
      <c r="BF28" s="56">
        <f>SUM(AT28:BE28)</f>
        <v>0</v>
      </c>
      <c r="BG28" s="77">
        <v>0</v>
      </c>
      <c r="BH28" s="77">
        <v>0</v>
      </c>
      <c r="BI28" s="77">
        <v>0</v>
      </c>
      <c r="BJ28" s="77">
        <v>0</v>
      </c>
      <c r="BK28" s="77">
        <v>0</v>
      </c>
      <c r="BL28" s="77">
        <v>0</v>
      </c>
      <c r="BM28" s="77">
        <v>0</v>
      </c>
      <c r="BN28" s="77">
        <v>0</v>
      </c>
      <c r="BO28" s="77">
        <v>0</v>
      </c>
      <c r="BP28" s="77">
        <v>0</v>
      </c>
      <c r="BQ28" s="77">
        <v>0</v>
      </c>
      <c r="BR28" s="77">
        <v>0</v>
      </c>
      <c r="BS28" s="55">
        <f>SUM(BG28:BR28)</f>
        <v>0</v>
      </c>
      <c r="BT28" s="38">
        <v>0</v>
      </c>
      <c r="BU28" s="38">
        <v>0</v>
      </c>
      <c r="BV28" s="38">
        <v>0</v>
      </c>
      <c r="BW28" s="38">
        <v>0</v>
      </c>
      <c r="BX28" s="38">
        <v>0</v>
      </c>
      <c r="BY28" s="38">
        <v>0</v>
      </c>
      <c r="BZ28" s="38">
        <v>0</v>
      </c>
      <c r="CA28" s="38">
        <v>0</v>
      </c>
      <c r="CB28" s="38">
        <v>0</v>
      </c>
      <c r="CC28" s="38">
        <v>0</v>
      </c>
      <c r="CD28" s="38">
        <v>0</v>
      </c>
      <c r="CE28" s="38">
        <v>0</v>
      </c>
      <c r="CF28" s="54">
        <f>SUM(BT28:CE28)</f>
        <v>0</v>
      </c>
      <c r="CG28" s="38">
        <v>0</v>
      </c>
      <c r="CH28" s="38">
        <v>0</v>
      </c>
      <c r="CI28" s="38">
        <v>0</v>
      </c>
      <c r="CJ28" s="38">
        <v>0</v>
      </c>
      <c r="CK28" s="38">
        <v>0</v>
      </c>
      <c r="CL28" s="38">
        <v>0</v>
      </c>
      <c r="CM28" s="38">
        <v>0</v>
      </c>
      <c r="CN28" s="38">
        <v>0</v>
      </c>
      <c r="CO28" s="38">
        <v>0</v>
      </c>
      <c r="CP28" s="38">
        <v>0</v>
      </c>
      <c r="CQ28" s="38">
        <v>0</v>
      </c>
      <c r="CR28" s="38">
        <v>0</v>
      </c>
      <c r="CS28" s="54">
        <f>SUM(CG28:CR28)</f>
        <v>0</v>
      </c>
    </row>
    <row r="29" spans="1:97" x14ac:dyDescent="0.15">
      <c r="B29" s="22" t="s">
        <v>69</v>
      </c>
      <c r="D29" s="25"/>
      <c r="E29" s="47">
        <f t="shared" ref="E29:R29" si="40">SUM(E26:E28)</f>
        <v>351</v>
      </c>
      <c r="F29" s="47">
        <f t="shared" si="40"/>
        <v>711</v>
      </c>
      <c r="G29" s="36">
        <f t="shared" si="40"/>
        <v>94.386320654900004</v>
      </c>
      <c r="H29" s="36">
        <f t="shared" si="40"/>
        <v>84.558534422000008</v>
      </c>
      <c r="I29" s="36">
        <f t="shared" si="40"/>
        <v>71.671944624100007</v>
      </c>
      <c r="J29" s="36">
        <f t="shared" si="40"/>
        <v>53.911929403000002</v>
      </c>
      <c r="K29" s="36">
        <f t="shared" si="40"/>
        <v>43.598322230000001</v>
      </c>
      <c r="L29" s="36">
        <f t="shared" si="40"/>
        <v>36.922239302199998</v>
      </c>
      <c r="M29" s="36">
        <f t="shared" si="40"/>
        <v>34.035243425399997</v>
      </c>
      <c r="N29" s="36">
        <f t="shared" si="40"/>
        <v>33.846807727600002</v>
      </c>
      <c r="O29" s="36">
        <f t="shared" si="40"/>
        <v>41.030579981500011</v>
      </c>
      <c r="P29" s="36">
        <f t="shared" si="40"/>
        <v>66.626398201900003</v>
      </c>
      <c r="Q29" s="36">
        <f t="shared" si="40"/>
        <v>124.311913731</v>
      </c>
      <c r="R29" s="36">
        <f t="shared" si="40"/>
        <v>138.4742984714</v>
      </c>
      <c r="S29" s="47">
        <f>SUM(G29:R29)</f>
        <v>823.37453217500001</v>
      </c>
      <c r="T29" s="36">
        <f t="shared" ref="T29:AE29" si="41">SUM(T26:T28)</f>
        <v>146.27311429310004</v>
      </c>
      <c r="U29" s="36">
        <f t="shared" si="41"/>
        <v>124.96535932050001</v>
      </c>
      <c r="V29" s="36">
        <f t="shared" si="41"/>
        <v>93.088929372399988</v>
      </c>
      <c r="W29" s="36">
        <f t="shared" si="41"/>
        <v>110.79963219450002</v>
      </c>
      <c r="X29" s="36">
        <f t="shared" si="41"/>
        <v>65.251793304499998</v>
      </c>
      <c r="Y29" s="36">
        <f t="shared" si="41"/>
        <v>53.295427296599996</v>
      </c>
      <c r="Z29" s="36">
        <f t="shared" si="41"/>
        <v>53.093868252600004</v>
      </c>
      <c r="AA29" s="36">
        <f t="shared" si="41"/>
        <v>59.716581321900001</v>
      </c>
      <c r="AB29" s="36">
        <f t="shared" si="41"/>
        <v>66.230842937600002</v>
      </c>
      <c r="AC29" s="36">
        <f t="shared" si="41"/>
        <v>76.060038936799998</v>
      </c>
      <c r="AD29" s="36">
        <f t="shared" si="41"/>
        <v>119.12000379519999</v>
      </c>
      <c r="AE29" s="36">
        <f t="shared" si="41"/>
        <v>146.63076194960001</v>
      </c>
      <c r="AF29" s="47">
        <f>SUM(T29:AE29)</f>
        <v>1114.5263529753001</v>
      </c>
      <c r="AG29" s="36">
        <f t="shared" ref="AG29:AR29" si="42">SUM(AG26:AG28)</f>
        <v>152.64518192200003</v>
      </c>
      <c r="AH29" s="36">
        <f t="shared" si="42"/>
        <v>138.75498754760002</v>
      </c>
      <c r="AI29" s="36">
        <f t="shared" si="42"/>
        <v>125.40139939599997</v>
      </c>
      <c r="AJ29" s="36">
        <f t="shared" si="42"/>
        <v>102.19376616770001</v>
      </c>
      <c r="AK29" s="36">
        <f t="shared" si="42"/>
        <v>76.322139351300009</v>
      </c>
      <c r="AL29" s="36">
        <f t="shared" si="42"/>
        <v>65.340360696499999</v>
      </c>
      <c r="AM29" s="36">
        <f t="shared" si="42"/>
        <v>56.989461134999992</v>
      </c>
      <c r="AN29" s="36">
        <f t="shared" si="42"/>
        <v>57.782136460100013</v>
      </c>
      <c r="AO29" s="36">
        <f t="shared" si="42"/>
        <v>55.871663734500004</v>
      </c>
      <c r="AP29" s="36">
        <f t="shared" si="42"/>
        <v>94.508991436800017</v>
      </c>
      <c r="AQ29" s="36">
        <f t="shared" si="42"/>
        <v>110.70407729520001</v>
      </c>
      <c r="AR29" s="36">
        <f t="shared" si="42"/>
        <v>207.4844005496</v>
      </c>
      <c r="AS29" s="47">
        <f>SUM(AG29:AR29)</f>
        <v>1243.9985656923</v>
      </c>
      <c r="AT29" s="26">
        <f t="shared" ref="AT29:BE29" si="43">SUM(AT26:AT28)</f>
        <v>157.48225142199999</v>
      </c>
      <c r="AU29" s="26">
        <f t="shared" si="43"/>
        <v>146.47980624760004</v>
      </c>
      <c r="AV29" s="26">
        <f t="shared" si="43"/>
        <v>142.24463559599999</v>
      </c>
      <c r="AW29" s="26">
        <f t="shared" si="43"/>
        <v>101.8509526677</v>
      </c>
      <c r="AX29" s="26">
        <f t="shared" si="43"/>
        <v>73.025701651300011</v>
      </c>
      <c r="AY29" s="26">
        <f t="shared" si="43"/>
        <v>60.588454396500005</v>
      </c>
      <c r="AZ29" s="26">
        <f t="shared" si="43"/>
        <v>50.117855434999996</v>
      </c>
      <c r="BA29" s="26">
        <f t="shared" si="43"/>
        <v>57.2067051601</v>
      </c>
      <c r="BB29" s="26">
        <f t="shared" si="43"/>
        <v>69.1431047345</v>
      </c>
      <c r="BC29" s="26">
        <f t="shared" si="43"/>
        <v>90.161136036800002</v>
      </c>
      <c r="BD29" s="26">
        <f t="shared" si="43"/>
        <v>141.19276639520001</v>
      </c>
      <c r="BE29" s="26">
        <f t="shared" si="43"/>
        <v>188.36810794960005</v>
      </c>
      <c r="BF29" s="56">
        <f>SUM(AT29:BE29)</f>
        <v>1277.8614776923</v>
      </c>
      <c r="BG29" s="26">
        <f t="shared" ref="BG29:BR29" si="44">SUM(BG26:BG28)</f>
        <v>130.59822756600002</v>
      </c>
      <c r="BH29" s="26">
        <f t="shared" si="44"/>
        <v>116.23375374460001</v>
      </c>
      <c r="BI29" s="26">
        <f t="shared" si="44"/>
        <v>130.22225047100002</v>
      </c>
      <c r="BJ29" s="26">
        <f t="shared" si="44"/>
        <v>101.77209976570002</v>
      </c>
      <c r="BK29" s="26">
        <f t="shared" si="44"/>
        <v>77.774715775299995</v>
      </c>
      <c r="BL29" s="26">
        <f t="shared" si="44"/>
        <v>69.807423496500007</v>
      </c>
      <c r="BM29" s="26">
        <f t="shared" si="44"/>
        <v>24.955708165000004</v>
      </c>
      <c r="BN29" s="26">
        <f t="shared" si="44"/>
        <v>14.813386450099999</v>
      </c>
      <c r="BO29" s="26">
        <f t="shared" si="44"/>
        <v>61.852534034500003</v>
      </c>
      <c r="BP29" s="26">
        <f t="shared" si="44"/>
        <v>89.808836536800015</v>
      </c>
      <c r="BQ29" s="26">
        <f t="shared" si="44"/>
        <v>125.14635419520002</v>
      </c>
      <c r="BR29" s="26">
        <f t="shared" si="44"/>
        <v>194.3369099496</v>
      </c>
      <c r="BS29" s="55">
        <f>SUM(BG29:BR29)</f>
        <v>1137.3222001503</v>
      </c>
      <c r="BT29" s="39">
        <v>140.059631422</v>
      </c>
      <c r="BU29" s="39">
        <v>158.14231624760001</v>
      </c>
      <c r="BV29" s="39">
        <v>107.06211559600001</v>
      </c>
      <c r="BW29" s="39">
        <v>100.16982266770002</v>
      </c>
      <c r="BX29" s="39">
        <v>76.092841651300006</v>
      </c>
      <c r="BY29" s="39">
        <v>52.430494396500002</v>
      </c>
      <c r="BZ29" s="39">
        <v>49.690985435000002</v>
      </c>
      <c r="CA29" s="39">
        <v>43.0883751601</v>
      </c>
      <c r="CB29" s="39">
        <v>50.90363473450001</v>
      </c>
      <c r="CC29" s="39">
        <v>84.211411436800006</v>
      </c>
      <c r="CD29" s="39">
        <v>150.43987729520001</v>
      </c>
      <c r="CE29" s="39">
        <v>156.2178405496</v>
      </c>
      <c r="CF29" s="54">
        <f>SUM(BT29:CE29)</f>
        <v>1168.5093465922998</v>
      </c>
      <c r="CG29" s="38">
        <f t="shared" ref="CG29:CR29" si="45">SUM(CG26:CG28)</f>
        <v>0</v>
      </c>
      <c r="CH29" s="38">
        <f t="shared" si="45"/>
        <v>0</v>
      </c>
      <c r="CI29" s="38">
        <f t="shared" si="45"/>
        <v>0</v>
      </c>
      <c r="CJ29" s="38">
        <f t="shared" si="45"/>
        <v>0</v>
      </c>
      <c r="CK29" s="38">
        <f t="shared" si="45"/>
        <v>0</v>
      </c>
      <c r="CL29" s="38">
        <f t="shared" si="45"/>
        <v>0</v>
      </c>
      <c r="CM29" s="38">
        <f t="shared" si="45"/>
        <v>0</v>
      </c>
      <c r="CN29" s="38">
        <f t="shared" si="45"/>
        <v>0</v>
      </c>
      <c r="CO29" s="38">
        <f t="shared" si="45"/>
        <v>0</v>
      </c>
      <c r="CP29" s="38">
        <f t="shared" si="45"/>
        <v>0</v>
      </c>
      <c r="CQ29" s="38">
        <f t="shared" si="45"/>
        <v>0</v>
      </c>
      <c r="CR29" s="38">
        <f t="shared" si="45"/>
        <v>0</v>
      </c>
      <c r="CS29" s="54">
        <f>SUM(CG29:CR29)</f>
        <v>0</v>
      </c>
    </row>
    <row r="30" spans="1:97" x14ac:dyDescent="0.15">
      <c r="D30" s="25"/>
      <c r="E30" s="47"/>
      <c r="F30" s="47"/>
      <c r="G30" s="36"/>
      <c r="H30" s="35"/>
      <c r="I30" s="35"/>
      <c r="J30" s="35"/>
      <c r="K30" s="35"/>
      <c r="L30" s="35"/>
      <c r="M30" s="35"/>
      <c r="N30" s="35"/>
      <c r="O30" s="35"/>
      <c r="P30" s="35"/>
      <c r="Q30" s="35"/>
      <c r="R30" s="36"/>
      <c r="S30" s="36"/>
      <c r="T30" s="36"/>
      <c r="U30" s="36"/>
      <c r="V30" s="36"/>
      <c r="W30" s="36"/>
      <c r="X30" s="36"/>
      <c r="Y30" s="36"/>
      <c r="Z30" s="36"/>
      <c r="AA30" s="36"/>
      <c r="AB30" s="36"/>
      <c r="AC30" s="36"/>
      <c r="AD30" s="36"/>
      <c r="AE30" s="36"/>
      <c r="AF30" s="32"/>
      <c r="AG30" s="36"/>
      <c r="AH30" s="36"/>
      <c r="AI30" s="36"/>
      <c r="AJ30" s="36"/>
      <c r="AK30" s="36"/>
      <c r="AL30" s="36"/>
      <c r="AM30" s="36"/>
      <c r="AN30" s="36"/>
      <c r="AO30" s="36"/>
      <c r="AP30" s="36"/>
      <c r="AQ30" s="36"/>
      <c r="AR30" s="36"/>
      <c r="AS30" s="32"/>
      <c r="AT30" s="26"/>
      <c r="AU30" s="26"/>
      <c r="AV30" s="26"/>
      <c r="AW30" s="26"/>
      <c r="AX30" s="26"/>
      <c r="AY30" s="26"/>
      <c r="AZ30" s="26"/>
      <c r="BA30" s="26"/>
      <c r="BB30" s="26"/>
      <c r="BC30" s="26"/>
      <c r="BD30" s="26"/>
      <c r="BE30" s="26"/>
      <c r="BF30" s="73"/>
      <c r="BG30" s="26"/>
      <c r="BH30" s="26"/>
      <c r="BI30" s="26"/>
      <c r="BJ30" s="26"/>
      <c r="BK30" s="26"/>
      <c r="BL30" s="26"/>
      <c r="BM30" s="26"/>
      <c r="BN30" s="26"/>
      <c r="BO30" s="26"/>
      <c r="BP30" s="26"/>
      <c r="BQ30" s="26"/>
      <c r="BR30" s="26"/>
      <c r="BS30" s="72"/>
      <c r="BT30" s="38"/>
      <c r="BU30" s="38"/>
      <c r="BV30" s="38"/>
      <c r="BW30" s="38"/>
      <c r="BX30" s="38"/>
      <c r="BY30" s="38"/>
      <c r="BZ30" s="38"/>
      <c r="CA30" s="38"/>
      <c r="CB30" s="38"/>
      <c r="CC30" s="38"/>
      <c r="CD30" s="38"/>
      <c r="CE30" s="38"/>
      <c r="CG30" s="38"/>
      <c r="CH30" s="38"/>
      <c r="CI30" s="38"/>
      <c r="CJ30" s="38"/>
      <c r="CK30" s="38"/>
      <c r="CL30" s="38"/>
      <c r="CM30" s="38"/>
      <c r="CN30" s="38"/>
      <c r="CO30" s="38"/>
      <c r="CP30" s="38"/>
      <c r="CQ30" s="38"/>
      <c r="CR30" s="38"/>
    </row>
    <row r="31" spans="1:97" x14ac:dyDescent="0.15">
      <c r="A31" s="22" t="s">
        <v>17</v>
      </c>
      <c r="B31" s="22" t="s">
        <v>3</v>
      </c>
      <c r="D31" s="25">
        <v>12</v>
      </c>
      <c r="E31" s="47">
        <v>258</v>
      </c>
      <c r="F31" s="47">
        <v>622</v>
      </c>
      <c r="G31" s="36">
        <v>100.77294000000001</v>
      </c>
      <c r="H31" s="36">
        <v>102.50149999999999</v>
      </c>
      <c r="I31" s="36">
        <v>26.207709999999999</v>
      </c>
      <c r="J31" s="36">
        <v>61.500900000000001</v>
      </c>
      <c r="K31" s="36">
        <v>21.427820000000001</v>
      </c>
      <c r="L31" s="36">
        <v>12.974740000000001</v>
      </c>
      <c r="M31" s="36">
        <v>10.06043</v>
      </c>
      <c r="N31" s="36">
        <v>13.022170000000003</v>
      </c>
      <c r="O31" s="36">
        <v>19.825740000000003</v>
      </c>
      <c r="P31" s="36">
        <v>85.036720000000003</v>
      </c>
      <c r="Q31" s="36">
        <v>116.53551000000002</v>
      </c>
      <c r="R31" s="36">
        <v>116.86752</v>
      </c>
      <c r="S31" s="47">
        <f>SUM(G31:R31)</f>
        <v>686.7337</v>
      </c>
      <c r="T31" s="36">
        <v>143.15428</v>
      </c>
      <c r="U31" s="36">
        <v>98.501570000000001</v>
      </c>
      <c r="V31" s="36">
        <v>34.11798000000001</v>
      </c>
      <c r="W31" s="36">
        <v>78.628399999999999</v>
      </c>
      <c r="X31" s="36">
        <v>27.64115</v>
      </c>
      <c r="Y31" s="36">
        <v>13.022170000000003</v>
      </c>
      <c r="Z31" s="36">
        <v>13.92334</v>
      </c>
      <c r="AA31" s="36">
        <v>17.923269999999999</v>
      </c>
      <c r="AB31" s="36">
        <v>33.996769999999998</v>
      </c>
      <c r="AC31" s="36">
        <v>74.454560000000015</v>
      </c>
      <c r="AD31" s="36">
        <v>119.9452</v>
      </c>
      <c r="AE31" s="36">
        <v>107.01789000000001</v>
      </c>
      <c r="AF31" s="47">
        <f>SUM(T31:AE31)</f>
        <v>762.32657999999992</v>
      </c>
      <c r="AG31" s="36">
        <v>154.60072000000002</v>
      </c>
      <c r="AH31" s="36">
        <v>81.014128999999997</v>
      </c>
      <c r="AI31" s="36">
        <v>60.396782299999998</v>
      </c>
      <c r="AJ31" s="36">
        <v>34.730670200000006</v>
      </c>
      <c r="AK31" s="36">
        <v>21.533641600000003</v>
      </c>
      <c r="AL31" s="36">
        <v>16.3606096</v>
      </c>
      <c r="AM31" s="36">
        <v>15.9815912</v>
      </c>
      <c r="AN31" s="36">
        <v>15.731213500000001</v>
      </c>
      <c r="AO31" s="36">
        <v>32.401646399999997</v>
      </c>
      <c r="AP31" s="36">
        <v>49.37463000000001</v>
      </c>
      <c r="AQ31" s="36">
        <v>62.006820000000005</v>
      </c>
      <c r="AR31" s="36">
        <v>124.90427</v>
      </c>
      <c r="AS31" s="47">
        <f>SUM(AG31:AR31)</f>
        <v>669.03672380000012</v>
      </c>
      <c r="AT31" s="26">
        <v>100.05095</v>
      </c>
      <c r="AU31" s="26">
        <v>77.974919999999997</v>
      </c>
      <c r="AV31" s="26">
        <v>46.960970000000003</v>
      </c>
      <c r="AW31" s="26">
        <v>38.971649999999997</v>
      </c>
      <c r="AX31" s="26">
        <v>24.0839</v>
      </c>
      <c r="AY31" s="26">
        <v>17.296140000000005</v>
      </c>
      <c r="AZ31" s="26">
        <v>13.08014</v>
      </c>
      <c r="BA31" s="26">
        <v>12.82718</v>
      </c>
      <c r="BB31" s="26">
        <v>34.392020000000002</v>
      </c>
      <c r="BC31" s="26">
        <v>51.75667</v>
      </c>
      <c r="BD31" s="26">
        <v>111.16011000000002</v>
      </c>
      <c r="BE31" s="26">
        <v>67.608829999999998</v>
      </c>
      <c r="BF31" s="56">
        <f>SUM(AT31:BE31)</f>
        <v>596.16347999999994</v>
      </c>
      <c r="BG31" s="26">
        <v>63.545659999999998</v>
      </c>
      <c r="BH31" s="26">
        <v>66.396730000000005</v>
      </c>
      <c r="BI31" s="26">
        <v>46.681660000000001</v>
      </c>
      <c r="BJ31" s="26">
        <v>44.536769999999997</v>
      </c>
      <c r="BK31" s="26">
        <v>35.09293000000001</v>
      </c>
      <c r="BL31" s="26">
        <v>20.516110000000001</v>
      </c>
      <c r="BM31" s="26">
        <v>15.936480000000001</v>
      </c>
      <c r="BN31" s="26">
        <v>17.285599999999999</v>
      </c>
      <c r="BO31" s="26">
        <v>29.533080000000002</v>
      </c>
      <c r="BP31" s="26">
        <v>45.590395830000006</v>
      </c>
      <c r="BQ31" s="26">
        <v>73.252393949999998</v>
      </c>
      <c r="BR31" s="26">
        <v>62.099709020000013</v>
      </c>
      <c r="BS31" s="55">
        <f>SUM(BG31:BR31)</f>
        <v>520.46751879999999</v>
      </c>
      <c r="BT31" s="39">
        <v>51.203319999999998</v>
      </c>
      <c r="BU31" s="39">
        <v>53.975340000000003</v>
      </c>
      <c r="BV31" s="39">
        <v>35.161439999999999</v>
      </c>
      <c r="BW31" s="39">
        <v>27.309140000000003</v>
      </c>
      <c r="BX31" s="39">
        <v>19.18807</v>
      </c>
      <c r="BY31" s="39">
        <v>11.45171</v>
      </c>
      <c r="BZ31" s="39">
        <v>10.914170000000002</v>
      </c>
      <c r="CA31" s="39">
        <v>6.0394199999999998</v>
      </c>
      <c r="CB31" s="39">
        <v>11.662509999999999</v>
      </c>
      <c r="CC31" s="39">
        <v>41.19032</v>
      </c>
      <c r="CD31" s="39">
        <v>55.398240000000001</v>
      </c>
      <c r="CE31" s="39">
        <v>43.951799999999999</v>
      </c>
      <c r="CF31" s="54">
        <f>SUM(BT31:CE31)</f>
        <v>367.44548000000003</v>
      </c>
      <c r="CG31" s="38">
        <v>0</v>
      </c>
      <c r="CH31" s="38">
        <v>0</v>
      </c>
      <c r="CI31" s="38">
        <v>0</v>
      </c>
      <c r="CJ31" s="38">
        <v>0</v>
      </c>
      <c r="CK31" s="38">
        <v>0</v>
      </c>
      <c r="CL31" s="38">
        <v>0</v>
      </c>
      <c r="CM31" s="38">
        <v>0</v>
      </c>
      <c r="CN31" s="38">
        <v>0</v>
      </c>
      <c r="CO31" s="38">
        <v>0</v>
      </c>
      <c r="CP31" s="38">
        <v>0</v>
      </c>
      <c r="CQ31" s="38">
        <v>0</v>
      </c>
      <c r="CR31" s="38">
        <v>0</v>
      </c>
      <c r="CS31" s="54">
        <f>SUM(CG31:CR31)</f>
        <v>0</v>
      </c>
    </row>
    <row r="32" spans="1:97" x14ac:dyDescent="0.15">
      <c r="B32" s="22" t="s">
        <v>12</v>
      </c>
      <c r="D32" s="25">
        <v>13</v>
      </c>
      <c r="E32" s="47">
        <v>133</v>
      </c>
      <c r="F32" s="47">
        <v>61</v>
      </c>
      <c r="G32" s="36">
        <v>1.0226543128000003</v>
      </c>
      <c r="H32" s="36">
        <v>1.3749155573000003</v>
      </c>
      <c r="I32" s="36">
        <v>1.4969567506000001</v>
      </c>
      <c r="J32" s="36">
        <v>1.1223227496000001</v>
      </c>
      <c r="K32" s="36">
        <v>1.7756072394</v>
      </c>
      <c r="L32" s="36">
        <v>1.9248466856999999</v>
      </c>
      <c r="M32" s="36">
        <v>1.3552626261000003</v>
      </c>
      <c r="N32" s="36">
        <v>1.4830066789000003</v>
      </c>
      <c r="O32" s="36">
        <v>1.5740769583000001</v>
      </c>
      <c r="P32" s="36">
        <v>1.1089868320000003</v>
      </c>
      <c r="Q32" s="36">
        <v>1.6417216456000001</v>
      </c>
      <c r="R32" s="36">
        <v>1.5731118590000002</v>
      </c>
      <c r="S32" s="47">
        <f>SUM(G32:R32)</f>
        <v>17.453469895300003</v>
      </c>
      <c r="T32" s="36">
        <v>0.61117106580000014</v>
      </c>
      <c r="U32" s="36">
        <v>1.2834943327000001</v>
      </c>
      <c r="V32" s="36">
        <v>1.0753838291</v>
      </c>
      <c r="W32" s="36">
        <v>0.66460247250000004</v>
      </c>
      <c r="X32" s="36">
        <v>0.98948999140000016</v>
      </c>
      <c r="Y32" s="36">
        <v>1.0635394286000002</v>
      </c>
      <c r="Z32" s="36">
        <v>0.46430049960000008</v>
      </c>
      <c r="AA32" s="36">
        <v>1.1895287554000002</v>
      </c>
      <c r="AB32" s="36">
        <v>1.3156935548000002</v>
      </c>
      <c r="AC32" s="36">
        <v>1.8784341830000002</v>
      </c>
      <c r="AD32" s="36">
        <v>0.25566357820000007</v>
      </c>
      <c r="AE32" s="36">
        <v>1.3566664069000001</v>
      </c>
      <c r="AF32" s="47">
        <f>SUM(T32:AE32)</f>
        <v>12.147968098000002</v>
      </c>
      <c r="AG32" s="36">
        <v>0.85999121260000011</v>
      </c>
      <c r="AH32" s="36">
        <v>0.46859957830000004</v>
      </c>
      <c r="AI32" s="36">
        <v>0.63047305180000002</v>
      </c>
      <c r="AJ32" s="36">
        <v>1.7354240140000001</v>
      </c>
      <c r="AK32" s="36">
        <v>1.4894114288000002</v>
      </c>
      <c r="AL32" s="36">
        <v>1.2444341319400001</v>
      </c>
      <c r="AM32" s="36">
        <v>1.15007374129</v>
      </c>
      <c r="AN32" s="36">
        <v>0.95600981932000018</v>
      </c>
      <c r="AO32" s="36">
        <v>3.6489527170000001E-2</v>
      </c>
      <c r="AP32" s="36">
        <v>0</v>
      </c>
      <c r="AQ32" s="36">
        <v>1.2039087349700002</v>
      </c>
      <c r="AR32" s="36">
        <v>1.1677262848500001</v>
      </c>
      <c r="AS32" s="47">
        <f>SUM(AG32:AR32)</f>
        <v>10.942541525039999</v>
      </c>
      <c r="AT32" s="26">
        <v>0.46275634072000005</v>
      </c>
      <c r="AU32" s="26">
        <v>0.15853072047</v>
      </c>
      <c r="AV32" s="26">
        <v>0.13736872491000002</v>
      </c>
      <c r="AW32" s="26">
        <v>1.0240668672300002</v>
      </c>
      <c r="AX32" s="26">
        <v>0.52486486749000005</v>
      </c>
      <c r="AY32" s="26">
        <v>1.1054773800000002</v>
      </c>
      <c r="AZ32" s="26">
        <v>0.18204404887</v>
      </c>
      <c r="BA32" s="26">
        <v>1.4319090577800002</v>
      </c>
      <c r="BB32" s="26">
        <v>0.65853112054000018</v>
      </c>
      <c r="BC32" s="26">
        <v>1.5624168040299999</v>
      </c>
      <c r="BD32" s="26">
        <v>0</v>
      </c>
      <c r="BE32" s="26">
        <v>1.1314210039099999</v>
      </c>
      <c r="BF32" s="56">
        <f>SUM(AT32:BE32)</f>
        <v>8.3793869359500004</v>
      </c>
      <c r="BG32" s="26">
        <v>0.95690472958000017</v>
      </c>
      <c r="BH32" s="26">
        <v>0.67006844399000021</v>
      </c>
      <c r="BI32" s="26">
        <v>0.51905672443000006</v>
      </c>
      <c r="BJ32" s="26">
        <v>0.76112117613000019</v>
      </c>
      <c r="BK32" s="26">
        <v>1.283156547945</v>
      </c>
      <c r="BL32" s="26">
        <v>0.9667487424400002</v>
      </c>
      <c r="BM32" s="26">
        <v>0</v>
      </c>
      <c r="BN32" s="26">
        <v>0</v>
      </c>
      <c r="BO32" s="26">
        <v>0</v>
      </c>
      <c r="BP32" s="26">
        <v>0</v>
      </c>
      <c r="BQ32" s="26">
        <v>0</v>
      </c>
      <c r="BR32" s="26">
        <v>0.31058650200000004</v>
      </c>
      <c r="BS32" s="55">
        <f>SUM(BG32:BR32)</f>
        <v>5.4676428665149999</v>
      </c>
      <c r="BT32" s="39">
        <v>0</v>
      </c>
      <c r="BU32" s="39">
        <v>0</v>
      </c>
      <c r="BV32" s="39">
        <v>0</v>
      </c>
      <c r="BW32" s="39">
        <v>0</v>
      </c>
      <c r="BX32" s="39">
        <v>0</v>
      </c>
      <c r="BY32" s="39">
        <v>0</v>
      </c>
      <c r="BZ32" s="39">
        <v>0</v>
      </c>
      <c r="CA32" s="39">
        <v>0</v>
      </c>
      <c r="CB32" s="39">
        <v>0</v>
      </c>
      <c r="CC32" s="39">
        <v>0</v>
      </c>
      <c r="CD32" s="39">
        <v>0</v>
      </c>
      <c r="CE32" s="39">
        <v>0</v>
      </c>
      <c r="CF32" s="54">
        <f>SUM(BT32:CE32)</f>
        <v>0</v>
      </c>
      <c r="CG32" s="38">
        <v>0</v>
      </c>
      <c r="CH32" s="38">
        <v>0</v>
      </c>
      <c r="CI32" s="38">
        <v>0</v>
      </c>
      <c r="CJ32" s="38">
        <v>0</v>
      </c>
      <c r="CK32" s="38">
        <v>0</v>
      </c>
      <c r="CL32" s="38">
        <v>0</v>
      </c>
      <c r="CM32" s="38">
        <v>0</v>
      </c>
      <c r="CN32" s="38">
        <v>0</v>
      </c>
      <c r="CO32" s="38">
        <v>0</v>
      </c>
      <c r="CP32" s="38">
        <v>0</v>
      </c>
      <c r="CQ32" s="38">
        <v>0</v>
      </c>
      <c r="CR32" s="38">
        <v>0</v>
      </c>
      <c r="CS32" s="54">
        <f>SUM(CG32:CR32)</f>
        <v>0</v>
      </c>
    </row>
    <row r="33" spans="1:97" x14ac:dyDescent="0.15">
      <c r="B33" s="22" t="s">
        <v>14</v>
      </c>
      <c r="D33" s="25">
        <v>15</v>
      </c>
      <c r="E33" s="47">
        <v>0</v>
      </c>
      <c r="F33" s="47">
        <v>0</v>
      </c>
      <c r="G33" s="58">
        <v>0</v>
      </c>
      <c r="H33" s="58">
        <v>0</v>
      </c>
      <c r="I33" s="58">
        <v>0</v>
      </c>
      <c r="J33" s="58">
        <v>0</v>
      </c>
      <c r="K33" s="58">
        <v>0</v>
      </c>
      <c r="L33" s="58">
        <v>0</v>
      </c>
      <c r="M33" s="58">
        <v>0</v>
      </c>
      <c r="N33" s="58">
        <v>0</v>
      </c>
      <c r="O33" s="58">
        <v>0</v>
      </c>
      <c r="P33" s="58">
        <v>0</v>
      </c>
      <c r="Q33" s="58">
        <v>0</v>
      </c>
      <c r="R33" s="58">
        <v>0</v>
      </c>
      <c r="S33" s="47">
        <f>SUM(G33:R33)</f>
        <v>0</v>
      </c>
      <c r="T33" s="58">
        <v>0</v>
      </c>
      <c r="U33" s="58">
        <v>0</v>
      </c>
      <c r="V33" s="58">
        <v>0</v>
      </c>
      <c r="W33" s="58">
        <v>0</v>
      </c>
      <c r="X33" s="58">
        <v>0</v>
      </c>
      <c r="Y33" s="58">
        <v>0</v>
      </c>
      <c r="Z33" s="58">
        <v>0</v>
      </c>
      <c r="AA33" s="58">
        <v>0</v>
      </c>
      <c r="AB33" s="58">
        <v>0</v>
      </c>
      <c r="AC33" s="58">
        <v>0</v>
      </c>
      <c r="AD33" s="58">
        <v>0</v>
      </c>
      <c r="AE33" s="58">
        <v>0</v>
      </c>
      <c r="AF33" s="47">
        <f>SUM(T33:AE33)</f>
        <v>0</v>
      </c>
      <c r="AG33" s="58">
        <v>0</v>
      </c>
      <c r="AH33" s="58">
        <v>0</v>
      </c>
      <c r="AI33" s="58">
        <v>0</v>
      </c>
      <c r="AJ33" s="58">
        <v>0</v>
      </c>
      <c r="AK33" s="58">
        <v>0</v>
      </c>
      <c r="AL33" s="58">
        <v>0</v>
      </c>
      <c r="AM33" s="58">
        <v>0</v>
      </c>
      <c r="AN33" s="58">
        <v>0</v>
      </c>
      <c r="AO33" s="58">
        <v>0</v>
      </c>
      <c r="AP33" s="58">
        <v>0</v>
      </c>
      <c r="AQ33" s="58">
        <v>0</v>
      </c>
      <c r="AR33" s="58">
        <v>0</v>
      </c>
      <c r="AS33" s="47">
        <f>SUM(AG33:AR33)</f>
        <v>0</v>
      </c>
      <c r="AT33" s="57">
        <v>0</v>
      </c>
      <c r="AU33" s="57">
        <v>0</v>
      </c>
      <c r="AV33" s="57">
        <v>0</v>
      </c>
      <c r="AW33" s="57">
        <v>0</v>
      </c>
      <c r="AX33" s="57">
        <v>0</v>
      </c>
      <c r="AY33" s="57">
        <v>0</v>
      </c>
      <c r="AZ33" s="57">
        <v>0</v>
      </c>
      <c r="BA33" s="57">
        <v>0</v>
      </c>
      <c r="BB33" s="57">
        <v>0</v>
      </c>
      <c r="BC33" s="57">
        <v>0</v>
      </c>
      <c r="BD33" s="57">
        <v>0</v>
      </c>
      <c r="BE33" s="57">
        <v>0</v>
      </c>
      <c r="BF33" s="56">
        <f>SUM(AT33:BE33)</f>
        <v>0</v>
      </c>
      <c r="BG33" s="57">
        <v>0</v>
      </c>
      <c r="BH33" s="57">
        <v>0</v>
      </c>
      <c r="BI33" s="57">
        <v>0</v>
      </c>
      <c r="BJ33" s="57">
        <v>0</v>
      </c>
      <c r="BK33" s="57">
        <v>0</v>
      </c>
      <c r="BL33" s="57">
        <v>0</v>
      </c>
      <c r="BM33" s="57">
        <v>0</v>
      </c>
      <c r="BN33" s="57">
        <v>0</v>
      </c>
      <c r="BO33" s="57">
        <v>0</v>
      </c>
      <c r="BP33" s="57">
        <v>0</v>
      </c>
      <c r="BQ33" s="57">
        <v>0</v>
      </c>
      <c r="BR33" s="57">
        <v>0</v>
      </c>
      <c r="BS33" s="55">
        <f>SUM(BG33:BR33)</f>
        <v>0</v>
      </c>
      <c r="BT33" s="39">
        <v>0</v>
      </c>
      <c r="BU33" s="39">
        <v>0</v>
      </c>
      <c r="BV33" s="39">
        <v>0</v>
      </c>
      <c r="BW33" s="39">
        <v>0</v>
      </c>
      <c r="BX33" s="39">
        <v>0</v>
      </c>
      <c r="BY33" s="39">
        <v>0</v>
      </c>
      <c r="BZ33" s="39">
        <v>0</v>
      </c>
      <c r="CA33" s="39">
        <v>0</v>
      </c>
      <c r="CB33" s="39">
        <v>0</v>
      </c>
      <c r="CC33" s="39">
        <v>0</v>
      </c>
      <c r="CD33" s="39">
        <v>0</v>
      </c>
      <c r="CE33" s="39">
        <v>0</v>
      </c>
      <c r="CF33" s="54">
        <f>SUM(BT33:CE33)</f>
        <v>0</v>
      </c>
      <c r="CG33" s="38">
        <v>0</v>
      </c>
      <c r="CH33" s="38">
        <v>0</v>
      </c>
      <c r="CI33" s="38">
        <v>0</v>
      </c>
      <c r="CJ33" s="38">
        <v>0</v>
      </c>
      <c r="CK33" s="38">
        <v>0</v>
      </c>
      <c r="CL33" s="38">
        <v>0</v>
      </c>
      <c r="CM33" s="38">
        <v>0</v>
      </c>
      <c r="CN33" s="38">
        <v>0</v>
      </c>
      <c r="CO33" s="38">
        <v>0</v>
      </c>
      <c r="CP33" s="38">
        <v>0</v>
      </c>
      <c r="CQ33" s="38">
        <v>0</v>
      </c>
      <c r="CR33" s="38">
        <v>0</v>
      </c>
      <c r="CS33" s="54">
        <f>SUM(CG33:CR33)</f>
        <v>0</v>
      </c>
    </row>
    <row r="34" spans="1:97" x14ac:dyDescent="0.15">
      <c r="B34" s="22" t="s">
        <v>68</v>
      </c>
      <c r="D34" s="25"/>
      <c r="E34" s="47">
        <f t="shared" ref="E34:R34" si="46">SUM(E31:E33)</f>
        <v>391</v>
      </c>
      <c r="F34" s="47">
        <f t="shared" si="46"/>
        <v>683</v>
      </c>
      <c r="G34" s="36">
        <f t="shared" si="46"/>
        <v>101.79559431280001</v>
      </c>
      <c r="H34" s="36">
        <f t="shared" si="46"/>
        <v>103.87641555729999</v>
      </c>
      <c r="I34" s="36">
        <f t="shared" si="46"/>
        <v>27.704666750599998</v>
      </c>
      <c r="J34" s="36">
        <f t="shared" si="46"/>
        <v>62.623222749600004</v>
      </c>
      <c r="K34" s="36">
        <f t="shared" si="46"/>
        <v>23.2034272394</v>
      </c>
      <c r="L34" s="36">
        <f t="shared" si="46"/>
        <v>14.899586685700001</v>
      </c>
      <c r="M34" s="36">
        <f t="shared" si="46"/>
        <v>11.4156926261</v>
      </c>
      <c r="N34" s="36">
        <f t="shared" si="46"/>
        <v>14.505176678900003</v>
      </c>
      <c r="O34" s="36">
        <f t="shared" si="46"/>
        <v>21.399816958300004</v>
      </c>
      <c r="P34" s="36">
        <f t="shared" si="46"/>
        <v>86.145706832000002</v>
      </c>
      <c r="Q34" s="36">
        <f t="shared" si="46"/>
        <v>118.17723164560002</v>
      </c>
      <c r="R34" s="36">
        <f t="shared" si="46"/>
        <v>118.44063185899999</v>
      </c>
      <c r="S34" s="47">
        <f>SUM(G34:R34)</f>
        <v>704.18716989530003</v>
      </c>
      <c r="T34" s="36">
        <f t="shared" ref="T34:AE34" si="47">SUM(T31:T33)</f>
        <v>143.76545106579999</v>
      </c>
      <c r="U34" s="36">
        <f t="shared" si="47"/>
        <v>99.785064332700003</v>
      </c>
      <c r="V34" s="36">
        <f t="shared" si="47"/>
        <v>35.193363829100008</v>
      </c>
      <c r="W34" s="36">
        <f t="shared" si="47"/>
        <v>79.293002472499992</v>
      </c>
      <c r="X34" s="36">
        <f t="shared" si="47"/>
        <v>28.630639991399999</v>
      </c>
      <c r="Y34" s="36">
        <f t="shared" si="47"/>
        <v>14.085709428600003</v>
      </c>
      <c r="Z34" s="36">
        <f t="shared" si="47"/>
        <v>14.3876404996</v>
      </c>
      <c r="AA34" s="36">
        <f t="shared" si="47"/>
        <v>19.1127987554</v>
      </c>
      <c r="AB34" s="36">
        <f t="shared" si="47"/>
        <v>35.312463554799997</v>
      </c>
      <c r="AC34" s="36">
        <f t="shared" si="47"/>
        <v>76.332994183000011</v>
      </c>
      <c r="AD34" s="36">
        <f t="shared" si="47"/>
        <v>120.2008635782</v>
      </c>
      <c r="AE34" s="36">
        <f t="shared" si="47"/>
        <v>108.37455640690001</v>
      </c>
      <c r="AF34" s="47">
        <f>SUM(T34:AE34)</f>
        <v>774.47454809800001</v>
      </c>
      <c r="AG34" s="36">
        <f t="shared" ref="AG34:AR34" si="48">SUM(AG31:AG33)</f>
        <v>155.46071121260002</v>
      </c>
      <c r="AH34" s="36">
        <f t="shared" si="48"/>
        <v>81.482728578299998</v>
      </c>
      <c r="AI34" s="36">
        <f t="shared" si="48"/>
        <v>61.027255351800001</v>
      </c>
      <c r="AJ34" s="36">
        <f t="shared" si="48"/>
        <v>36.466094214000009</v>
      </c>
      <c r="AK34" s="36">
        <f t="shared" si="48"/>
        <v>23.023053028800003</v>
      </c>
      <c r="AL34" s="36">
        <f t="shared" si="48"/>
        <v>17.60504373194</v>
      </c>
      <c r="AM34" s="36">
        <f t="shared" si="48"/>
        <v>17.131664941290001</v>
      </c>
      <c r="AN34" s="36">
        <f t="shared" si="48"/>
        <v>16.687223319320001</v>
      </c>
      <c r="AO34" s="36">
        <f t="shared" si="48"/>
        <v>32.438135927169995</v>
      </c>
      <c r="AP34" s="36">
        <f t="shared" si="48"/>
        <v>49.37463000000001</v>
      </c>
      <c r="AQ34" s="36">
        <f t="shared" si="48"/>
        <v>63.210728734970004</v>
      </c>
      <c r="AR34" s="36">
        <f t="shared" si="48"/>
        <v>126.07199628485</v>
      </c>
      <c r="AS34" s="47">
        <f>SUM(AG34:AR34)</f>
        <v>679.97926532504005</v>
      </c>
      <c r="AT34" s="26">
        <f t="shared" ref="AT34:BE34" si="49">SUM(AT31:AT33)</f>
        <v>100.51370634072001</v>
      </c>
      <c r="AU34" s="26">
        <f t="shared" si="49"/>
        <v>78.133450720469995</v>
      </c>
      <c r="AV34" s="26">
        <f t="shared" si="49"/>
        <v>47.098338724910001</v>
      </c>
      <c r="AW34" s="26">
        <f t="shared" si="49"/>
        <v>39.995716867229994</v>
      </c>
      <c r="AX34" s="26">
        <f t="shared" si="49"/>
        <v>24.608764867489999</v>
      </c>
      <c r="AY34" s="26">
        <f t="shared" si="49"/>
        <v>18.401617380000005</v>
      </c>
      <c r="AZ34" s="26">
        <f t="shared" si="49"/>
        <v>13.262184048870001</v>
      </c>
      <c r="BA34" s="26">
        <f t="shared" si="49"/>
        <v>14.259089057780001</v>
      </c>
      <c r="BB34" s="26">
        <f t="shared" si="49"/>
        <v>35.05055112054</v>
      </c>
      <c r="BC34" s="26">
        <f t="shared" si="49"/>
        <v>53.31908680403</v>
      </c>
      <c r="BD34" s="26">
        <f t="shared" si="49"/>
        <v>111.16011000000002</v>
      </c>
      <c r="BE34" s="26">
        <f t="shared" si="49"/>
        <v>68.740251003910004</v>
      </c>
      <c r="BF34" s="56">
        <f>SUM(AT34:BE34)</f>
        <v>604.54286693594997</v>
      </c>
      <c r="BG34" s="26">
        <f t="shared" ref="BG34:BR34" si="50">SUM(BG31:BG33)</f>
        <v>64.502564729580001</v>
      </c>
      <c r="BH34" s="26">
        <f t="shared" si="50"/>
        <v>67.06679844399001</v>
      </c>
      <c r="BI34" s="26">
        <f t="shared" si="50"/>
        <v>47.200716724430002</v>
      </c>
      <c r="BJ34" s="26">
        <f t="shared" si="50"/>
        <v>45.297891176129994</v>
      </c>
      <c r="BK34" s="26">
        <f t="shared" si="50"/>
        <v>36.376086547945008</v>
      </c>
      <c r="BL34" s="26">
        <f t="shared" si="50"/>
        <v>21.482858742440001</v>
      </c>
      <c r="BM34" s="26">
        <f t="shared" si="50"/>
        <v>15.936480000000001</v>
      </c>
      <c r="BN34" s="26">
        <f t="shared" si="50"/>
        <v>17.285599999999999</v>
      </c>
      <c r="BO34" s="26">
        <f t="shared" si="50"/>
        <v>29.533080000000002</v>
      </c>
      <c r="BP34" s="26">
        <f t="shared" si="50"/>
        <v>45.590395830000006</v>
      </c>
      <c r="BQ34" s="26">
        <f t="shared" si="50"/>
        <v>73.252393949999998</v>
      </c>
      <c r="BR34" s="26">
        <f t="shared" si="50"/>
        <v>62.410295522000013</v>
      </c>
      <c r="BS34" s="55">
        <f>SUM(BG34:BR34)</f>
        <v>525.935161666515</v>
      </c>
      <c r="BT34" s="39">
        <v>51.203319999999998</v>
      </c>
      <c r="BU34" s="39">
        <v>53.975340000000003</v>
      </c>
      <c r="BV34" s="39">
        <v>35.161439999999999</v>
      </c>
      <c r="BW34" s="39">
        <v>27.309140000000003</v>
      </c>
      <c r="BX34" s="39">
        <v>19.18807</v>
      </c>
      <c r="BY34" s="39">
        <v>11.45171</v>
      </c>
      <c r="BZ34" s="39">
        <v>10.914170000000002</v>
      </c>
      <c r="CA34" s="39">
        <v>6.0394199999999998</v>
      </c>
      <c r="CB34" s="39">
        <v>11.662509999999999</v>
      </c>
      <c r="CC34" s="39">
        <v>41.19032</v>
      </c>
      <c r="CD34" s="39">
        <v>55.398240000000001</v>
      </c>
      <c r="CE34" s="39">
        <v>43.951799999999999</v>
      </c>
      <c r="CF34" s="54">
        <f>SUM(BT34:CE34)</f>
        <v>367.44548000000003</v>
      </c>
      <c r="CG34" s="38">
        <f t="shared" ref="CG34:CR34" si="51">SUM(CG31:CG33)</f>
        <v>0</v>
      </c>
      <c r="CH34" s="38">
        <f t="shared" si="51"/>
        <v>0</v>
      </c>
      <c r="CI34" s="38">
        <f t="shared" si="51"/>
        <v>0</v>
      </c>
      <c r="CJ34" s="38">
        <f t="shared" si="51"/>
        <v>0</v>
      </c>
      <c r="CK34" s="38">
        <f t="shared" si="51"/>
        <v>0</v>
      </c>
      <c r="CL34" s="38">
        <f t="shared" si="51"/>
        <v>0</v>
      </c>
      <c r="CM34" s="38">
        <f t="shared" si="51"/>
        <v>0</v>
      </c>
      <c r="CN34" s="38">
        <f t="shared" si="51"/>
        <v>0</v>
      </c>
      <c r="CO34" s="38">
        <f t="shared" si="51"/>
        <v>0</v>
      </c>
      <c r="CP34" s="38">
        <f t="shared" si="51"/>
        <v>0</v>
      </c>
      <c r="CQ34" s="38">
        <f t="shared" si="51"/>
        <v>0</v>
      </c>
      <c r="CR34" s="38">
        <f t="shared" si="51"/>
        <v>0</v>
      </c>
      <c r="CS34" s="54">
        <f>SUM(CG34:CR34)</f>
        <v>0</v>
      </c>
    </row>
    <row r="35" spans="1:97" x14ac:dyDescent="0.15">
      <c r="D35" s="25"/>
      <c r="E35" s="47"/>
      <c r="F35" s="47"/>
      <c r="G35" s="36"/>
      <c r="H35" s="36"/>
      <c r="I35" s="36"/>
      <c r="J35" s="36"/>
      <c r="K35" s="36"/>
      <c r="L35" s="36"/>
      <c r="M35" s="36"/>
      <c r="N35" s="36"/>
      <c r="O35" s="36"/>
      <c r="P35" s="36"/>
      <c r="Q35" s="36"/>
      <c r="R35" s="36"/>
      <c r="S35" s="47"/>
      <c r="T35" s="36"/>
      <c r="U35" s="36"/>
      <c r="V35" s="36"/>
      <c r="W35" s="36"/>
      <c r="X35" s="36"/>
      <c r="Y35" s="36"/>
      <c r="Z35" s="36"/>
      <c r="AA35" s="36"/>
      <c r="AB35" s="36"/>
      <c r="AC35" s="36"/>
      <c r="AD35" s="36"/>
      <c r="AE35" s="36"/>
      <c r="AF35" s="47"/>
      <c r="AG35" s="36"/>
      <c r="AH35" s="36"/>
      <c r="AI35" s="36"/>
      <c r="AJ35" s="36"/>
      <c r="AK35" s="36"/>
      <c r="AL35" s="36"/>
      <c r="AM35" s="36"/>
      <c r="AN35" s="36"/>
      <c r="AO35" s="36"/>
      <c r="AP35" s="36"/>
      <c r="AQ35" s="36"/>
      <c r="AR35" s="36"/>
      <c r="AS35" s="47"/>
      <c r="AT35" s="26"/>
      <c r="AU35" s="26"/>
      <c r="AV35" s="26"/>
      <c r="AW35" s="26"/>
      <c r="AX35" s="26"/>
      <c r="AY35" s="26"/>
      <c r="AZ35" s="26"/>
      <c r="BA35" s="26"/>
      <c r="BB35" s="26"/>
      <c r="BC35" s="26"/>
      <c r="BD35" s="26"/>
      <c r="BE35" s="26"/>
      <c r="BF35" s="56"/>
      <c r="BG35" s="26"/>
      <c r="BH35" s="26"/>
      <c r="BI35" s="26"/>
      <c r="BJ35" s="26"/>
      <c r="BK35" s="26"/>
      <c r="BL35" s="26"/>
      <c r="BM35" s="26"/>
      <c r="BN35" s="26"/>
      <c r="BO35" s="26"/>
      <c r="BP35" s="26"/>
      <c r="BQ35" s="26"/>
      <c r="BR35" s="26"/>
      <c r="BS35" s="55"/>
      <c r="BT35" s="38"/>
      <c r="BU35" s="38"/>
      <c r="BV35" s="38"/>
      <c r="BW35" s="38"/>
      <c r="BX35" s="38"/>
      <c r="BY35" s="38"/>
      <c r="BZ35" s="38"/>
      <c r="CA35" s="38"/>
      <c r="CB35" s="38"/>
      <c r="CC35" s="38"/>
      <c r="CD35" s="38"/>
      <c r="CE35" s="38"/>
      <c r="CF35" s="54"/>
      <c r="CG35" s="38"/>
      <c r="CH35" s="38"/>
      <c r="CI35" s="38"/>
      <c r="CJ35" s="38"/>
      <c r="CK35" s="38"/>
      <c r="CL35" s="38"/>
      <c r="CM35" s="38"/>
      <c r="CN35" s="38"/>
      <c r="CO35" s="38"/>
      <c r="CP35" s="38"/>
      <c r="CQ35" s="38"/>
      <c r="CR35" s="38"/>
      <c r="CS35" s="54"/>
    </row>
    <row r="36" spans="1:97" x14ac:dyDescent="0.15">
      <c r="A36" s="22" t="s">
        <v>18</v>
      </c>
      <c r="D36" s="25">
        <v>12</v>
      </c>
      <c r="E36" s="47">
        <v>221</v>
      </c>
      <c r="F36" s="47">
        <v>178</v>
      </c>
      <c r="G36" s="58">
        <f t="shared" ref="G36:R36" si="52">$F$36/12</f>
        <v>14.833333333333334</v>
      </c>
      <c r="H36" s="58">
        <f t="shared" si="52"/>
        <v>14.833333333333334</v>
      </c>
      <c r="I36" s="58">
        <f t="shared" si="52"/>
        <v>14.833333333333334</v>
      </c>
      <c r="J36" s="58">
        <f t="shared" si="52"/>
        <v>14.833333333333334</v>
      </c>
      <c r="K36" s="58">
        <f t="shared" si="52"/>
        <v>14.833333333333334</v>
      </c>
      <c r="L36" s="58">
        <f t="shared" si="52"/>
        <v>14.833333333333334</v>
      </c>
      <c r="M36" s="58">
        <f t="shared" si="52"/>
        <v>14.833333333333334</v>
      </c>
      <c r="N36" s="58">
        <f t="shared" si="52"/>
        <v>14.833333333333334</v>
      </c>
      <c r="O36" s="58">
        <f t="shared" si="52"/>
        <v>14.833333333333334</v>
      </c>
      <c r="P36" s="58">
        <f t="shared" si="52"/>
        <v>14.833333333333334</v>
      </c>
      <c r="Q36" s="58">
        <f t="shared" si="52"/>
        <v>14.833333333333334</v>
      </c>
      <c r="R36" s="58">
        <f t="shared" si="52"/>
        <v>14.833333333333334</v>
      </c>
      <c r="S36" s="47">
        <f>SUM(G36:R36)</f>
        <v>178.00000000000003</v>
      </c>
      <c r="T36" s="58">
        <f t="shared" ref="T36:AE36" si="53">$F$36/12</f>
        <v>14.833333333333334</v>
      </c>
      <c r="U36" s="58">
        <f t="shared" si="53"/>
        <v>14.833333333333334</v>
      </c>
      <c r="V36" s="58">
        <f t="shared" si="53"/>
        <v>14.833333333333334</v>
      </c>
      <c r="W36" s="58">
        <f t="shared" si="53"/>
        <v>14.833333333333334</v>
      </c>
      <c r="X36" s="58">
        <f t="shared" si="53"/>
        <v>14.833333333333334</v>
      </c>
      <c r="Y36" s="58">
        <f t="shared" si="53"/>
        <v>14.833333333333334</v>
      </c>
      <c r="Z36" s="58">
        <f t="shared" si="53"/>
        <v>14.833333333333334</v>
      </c>
      <c r="AA36" s="58">
        <f t="shared" si="53"/>
        <v>14.833333333333334</v>
      </c>
      <c r="AB36" s="58">
        <f t="shared" si="53"/>
        <v>14.833333333333334</v>
      </c>
      <c r="AC36" s="58">
        <f t="shared" si="53"/>
        <v>14.833333333333334</v>
      </c>
      <c r="AD36" s="58">
        <f t="shared" si="53"/>
        <v>14.833333333333334</v>
      </c>
      <c r="AE36" s="58">
        <f t="shared" si="53"/>
        <v>14.833333333333334</v>
      </c>
      <c r="AF36" s="47">
        <f>SUM(T36:AE36)</f>
        <v>178.00000000000003</v>
      </c>
      <c r="AG36" s="58">
        <f t="shared" ref="AG36:AR36" si="54">$F$36/12</f>
        <v>14.833333333333334</v>
      </c>
      <c r="AH36" s="58">
        <f t="shared" si="54"/>
        <v>14.833333333333334</v>
      </c>
      <c r="AI36" s="58">
        <f t="shared" si="54"/>
        <v>14.833333333333334</v>
      </c>
      <c r="AJ36" s="58">
        <f t="shared" si="54"/>
        <v>14.833333333333334</v>
      </c>
      <c r="AK36" s="58">
        <f t="shared" si="54"/>
        <v>14.833333333333334</v>
      </c>
      <c r="AL36" s="58">
        <f t="shared" si="54"/>
        <v>14.833333333333334</v>
      </c>
      <c r="AM36" s="58">
        <f t="shared" si="54"/>
        <v>14.833333333333334</v>
      </c>
      <c r="AN36" s="58">
        <f t="shared" si="54"/>
        <v>14.833333333333334</v>
      </c>
      <c r="AO36" s="58">
        <f t="shared" si="54"/>
        <v>14.833333333333334</v>
      </c>
      <c r="AP36" s="58">
        <f t="shared" si="54"/>
        <v>14.833333333333334</v>
      </c>
      <c r="AQ36" s="58">
        <f t="shared" si="54"/>
        <v>14.833333333333334</v>
      </c>
      <c r="AR36" s="58">
        <f t="shared" si="54"/>
        <v>14.833333333333334</v>
      </c>
      <c r="AS36" s="47">
        <f>SUM(AG36:AR36)</f>
        <v>178.00000000000003</v>
      </c>
      <c r="AT36" s="57">
        <f t="shared" ref="AT36:BE36" si="55">$F$36/12</f>
        <v>14.833333333333334</v>
      </c>
      <c r="AU36" s="57">
        <f t="shared" si="55"/>
        <v>14.833333333333334</v>
      </c>
      <c r="AV36" s="57">
        <f t="shared" si="55"/>
        <v>14.833333333333334</v>
      </c>
      <c r="AW36" s="57">
        <f t="shared" si="55"/>
        <v>14.833333333333334</v>
      </c>
      <c r="AX36" s="57">
        <f t="shared" si="55"/>
        <v>14.833333333333334</v>
      </c>
      <c r="AY36" s="57">
        <f t="shared" si="55"/>
        <v>14.833333333333334</v>
      </c>
      <c r="AZ36" s="57">
        <f t="shared" si="55"/>
        <v>14.833333333333334</v>
      </c>
      <c r="BA36" s="57">
        <f t="shared" si="55"/>
        <v>14.833333333333334</v>
      </c>
      <c r="BB36" s="57">
        <f t="shared" si="55"/>
        <v>14.833333333333334</v>
      </c>
      <c r="BC36" s="57">
        <f t="shared" si="55"/>
        <v>14.833333333333334</v>
      </c>
      <c r="BD36" s="57">
        <f t="shared" si="55"/>
        <v>14.833333333333334</v>
      </c>
      <c r="BE36" s="57">
        <f t="shared" si="55"/>
        <v>14.833333333333334</v>
      </c>
      <c r="BF36" s="56">
        <f>SUM(AT36:BE36)</f>
        <v>178.00000000000003</v>
      </c>
      <c r="BG36" s="57">
        <f t="shared" ref="BG36:BR36" si="56">$F$36/12</f>
        <v>14.833333333333334</v>
      </c>
      <c r="BH36" s="57">
        <f t="shared" si="56"/>
        <v>14.833333333333334</v>
      </c>
      <c r="BI36" s="57">
        <f t="shared" si="56"/>
        <v>14.833333333333334</v>
      </c>
      <c r="BJ36" s="57">
        <f t="shared" si="56"/>
        <v>14.833333333333334</v>
      </c>
      <c r="BK36" s="57">
        <f t="shared" si="56"/>
        <v>14.833333333333334</v>
      </c>
      <c r="BL36" s="57">
        <f t="shared" si="56"/>
        <v>14.833333333333334</v>
      </c>
      <c r="BM36" s="57">
        <f t="shared" si="56"/>
        <v>14.833333333333334</v>
      </c>
      <c r="BN36" s="57">
        <f t="shared" si="56"/>
        <v>14.833333333333334</v>
      </c>
      <c r="BO36" s="57">
        <f t="shared" si="56"/>
        <v>14.833333333333334</v>
      </c>
      <c r="BP36" s="57">
        <f t="shared" si="56"/>
        <v>14.833333333333334</v>
      </c>
      <c r="BQ36" s="57">
        <f t="shared" si="56"/>
        <v>14.833333333333334</v>
      </c>
      <c r="BR36" s="57">
        <f t="shared" si="56"/>
        <v>14.833333333333334</v>
      </c>
      <c r="BS36" s="55">
        <f>SUM(BG36:BR36)</f>
        <v>178.00000000000003</v>
      </c>
      <c r="BT36" s="38">
        <v>14.833333333333334</v>
      </c>
      <c r="BU36" s="38">
        <v>14.833333333333334</v>
      </c>
      <c r="BV36" s="38">
        <v>14.833333333333334</v>
      </c>
      <c r="BW36" s="38">
        <v>14.833333333333334</v>
      </c>
      <c r="BX36" s="38">
        <v>14.833333333333334</v>
      </c>
      <c r="BY36" s="38">
        <v>14.833333333333334</v>
      </c>
      <c r="BZ36" s="38">
        <v>14.833333333333334</v>
      </c>
      <c r="CA36" s="38">
        <v>14.833333333333334</v>
      </c>
      <c r="CB36" s="38">
        <v>14.833333333333334</v>
      </c>
      <c r="CC36" s="38">
        <v>14.833333333333334</v>
      </c>
      <c r="CD36" s="38">
        <v>14.833333333333334</v>
      </c>
      <c r="CE36" s="38">
        <v>14.833333333333334</v>
      </c>
      <c r="CF36" s="54">
        <f>SUM(BT36:CE36)</f>
        <v>178.00000000000003</v>
      </c>
      <c r="CG36" s="38">
        <f t="shared" ref="CG36:CR36" si="57">$F$36/12</f>
        <v>14.833333333333334</v>
      </c>
      <c r="CH36" s="38">
        <f t="shared" si="57"/>
        <v>14.833333333333334</v>
      </c>
      <c r="CI36" s="38">
        <f t="shared" si="57"/>
        <v>14.833333333333334</v>
      </c>
      <c r="CJ36" s="38">
        <f t="shared" si="57"/>
        <v>14.833333333333334</v>
      </c>
      <c r="CK36" s="38">
        <f t="shared" si="57"/>
        <v>14.833333333333334</v>
      </c>
      <c r="CL36" s="38">
        <f t="shared" si="57"/>
        <v>14.833333333333334</v>
      </c>
      <c r="CM36" s="38">
        <f t="shared" si="57"/>
        <v>14.833333333333334</v>
      </c>
      <c r="CN36" s="38">
        <f t="shared" si="57"/>
        <v>14.833333333333334</v>
      </c>
      <c r="CO36" s="38">
        <f t="shared" si="57"/>
        <v>14.833333333333334</v>
      </c>
      <c r="CP36" s="38">
        <f t="shared" si="57"/>
        <v>14.833333333333334</v>
      </c>
      <c r="CQ36" s="38">
        <f t="shared" si="57"/>
        <v>14.833333333333334</v>
      </c>
      <c r="CR36" s="38">
        <f t="shared" si="57"/>
        <v>14.833333333333334</v>
      </c>
      <c r="CS36" s="54">
        <f>SUM(CG36:CR36)</f>
        <v>178.00000000000003</v>
      </c>
    </row>
    <row r="37" spans="1:97" x14ac:dyDescent="0.15">
      <c r="D37" s="25"/>
      <c r="E37" s="47"/>
      <c r="F37" s="47"/>
      <c r="G37" s="36"/>
      <c r="H37" s="35"/>
      <c r="I37" s="35"/>
      <c r="J37" s="35"/>
      <c r="K37" s="35"/>
      <c r="L37" s="35"/>
      <c r="M37" s="35"/>
      <c r="N37" s="35"/>
      <c r="O37" s="35"/>
      <c r="P37" s="35"/>
      <c r="Q37" s="35"/>
      <c r="R37" s="36"/>
      <c r="S37" s="36"/>
      <c r="T37" s="36"/>
      <c r="U37" s="36"/>
      <c r="V37" s="36"/>
      <c r="W37" s="36"/>
      <c r="X37" s="36"/>
      <c r="Y37" s="36"/>
      <c r="Z37" s="36"/>
      <c r="AA37" s="36"/>
      <c r="AB37" s="36"/>
      <c r="AC37" s="36"/>
      <c r="AD37" s="36"/>
      <c r="AE37" s="36"/>
      <c r="AF37" s="32"/>
      <c r="AG37" s="36"/>
      <c r="AH37" s="32"/>
      <c r="AI37" s="32"/>
      <c r="AJ37" s="32"/>
      <c r="AK37" s="32"/>
      <c r="AL37" s="32"/>
      <c r="AM37" s="32"/>
      <c r="AN37" s="32"/>
      <c r="AO37" s="32"/>
      <c r="AP37" s="32"/>
      <c r="AQ37" s="32"/>
      <c r="AR37" s="32"/>
      <c r="AS37" s="32"/>
      <c r="AT37" s="26"/>
      <c r="BF37" s="73"/>
      <c r="BG37" s="26"/>
      <c r="BS37" s="72"/>
      <c r="BT37" s="38"/>
      <c r="BU37" s="44"/>
      <c r="BV37" s="44"/>
      <c r="BW37" s="44"/>
      <c r="BX37" s="44"/>
      <c r="BY37" s="44"/>
      <c r="BZ37" s="44"/>
      <c r="CA37" s="44"/>
      <c r="CB37" s="44"/>
      <c r="CC37" s="44"/>
      <c r="CD37" s="44"/>
      <c r="CE37" s="44"/>
      <c r="CG37" s="38"/>
      <c r="CH37" s="44"/>
      <c r="CI37" s="44"/>
      <c r="CJ37" s="44"/>
      <c r="CK37" s="44"/>
      <c r="CL37" s="44"/>
      <c r="CM37" s="44"/>
      <c r="CN37" s="44"/>
      <c r="CO37" s="44"/>
      <c r="CP37" s="44"/>
      <c r="CQ37" s="44"/>
      <c r="CR37" s="44"/>
    </row>
    <row r="38" spans="1:97" x14ac:dyDescent="0.15">
      <c r="B38" s="53" t="s">
        <v>67</v>
      </c>
      <c r="D38" s="25"/>
      <c r="E38" s="51">
        <f t="shared" ref="E38:R38" si="58">E24+E29+E34+E36</f>
        <v>117020</v>
      </c>
      <c r="F38" s="51">
        <f t="shared" si="58"/>
        <v>104902.44597</v>
      </c>
      <c r="G38" s="52">
        <f t="shared" si="58"/>
        <v>11709.846331502456</v>
      </c>
      <c r="H38" s="52">
        <f t="shared" si="58"/>
        <v>12186.529543824056</v>
      </c>
      <c r="I38" s="52">
        <f t="shared" si="58"/>
        <v>10797.757546299459</v>
      </c>
      <c r="J38" s="52">
        <f t="shared" si="58"/>
        <v>9041.7145080573555</v>
      </c>
      <c r="K38" s="52">
        <f t="shared" si="58"/>
        <v>7264.4502110441535</v>
      </c>
      <c r="L38" s="52">
        <f t="shared" si="58"/>
        <v>6314.3600731126553</v>
      </c>
      <c r="M38" s="52">
        <f t="shared" si="58"/>
        <v>5618.4763669869208</v>
      </c>
      <c r="N38" s="52">
        <f t="shared" si="58"/>
        <v>5737.5022046659215</v>
      </c>
      <c r="O38" s="52">
        <f t="shared" si="58"/>
        <v>6235.6196929222206</v>
      </c>
      <c r="P38" s="52">
        <f t="shared" si="58"/>
        <v>8168.6002031393209</v>
      </c>
      <c r="Q38" s="52">
        <f t="shared" si="58"/>
        <v>11479.743259575025</v>
      </c>
      <c r="R38" s="52">
        <f t="shared" si="58"/>
        <v>12438.007188623826</v>
      </c>
      <c r="S38" s="51">
        <f>SUM(G38:R38)</f>
        <v>106992.60712975336</v>
      </c>
      <c r="T38" s="52">
        <f t="shared" ref="T38:AE38" si="59">T24+T29+T34+T36</f>
        <v>13730.281980162945</v>
      </c>
      <c r="U38" s="52">
        <f t="shared" si="59"/>
        <v>10416.714275667247</v>
      </c>
      <c r="V38" s="52">
        <f t="shared" si="59"/>
        <v>9908.2420301385464</v>
      </c>
      <c r="W38" s="52">
        <f t="shared" si="59"/>
        <v>8888.1615138960478</v>
      </c>
      <c r="X38" s="52">
        <f t="shared" si="59"/>
        <v>7508.0029041439466</v>
      </c>
      <c r="Y38" s="52">
        <f t="shared" si="59"/>
        <v>6282.8102941962452</v>
      </c>
      <c r="Z38" s="52">
        <f t="shared" si="59"/>
        <v>5436.1431936235795</v>
      </c>
      <c r="AA38" s="52">
        <f t="shared" si="59"/>
        <v>5467.6847942746781</v>
      </c>
      <c r="AB38" s="52">
        <f t="shared" si="59"/>
        <v>6102.831171149779</v>
      </c>
      <c r="AC38" s="52">
        <f t="shared" si="59"/>
        <v>8285.4090982371799</v>
      </c>
      <c r="AD38" s="52">
        <f t="shared" si="59"/>
        <v>10665.075887910782</v>
      </c>
      <c r="AE38" s="52">
        <f t="shared" si="59"/>
        <v>12934.147069373879</v>
      </c>
      <c r="AF38" s="51">
        <f>SUM(T38:AE38)</f>
        <v>105625.50421277487</v>
      </c>
      <c r="AG38" s="52">
        <f t="shared" ref="AG38:AR38" si="60">AG24+AG29+AG34+AG36</f>
        <v>14371.992327007683</v>
      </c>
      <c r="AH38" s="52">
        <f t="shared" si="60"/>
        <v>10913.459294763983</v>
      </c>
      <c r="AI38" s="52">
        <f t="shared" si="60"/>
        <v>11257.044065217884</v>
      </c>
      <c r="AJ38" s="52">
        <f t="shared" si="60"/>
        <v>9970.3811325837833</v>
      </c>
      <c r="AK38" s="52">
        <f t="shared" si="60"/>
        <v>7776.5698366711813</v>
      </c>
      <c r="AL38" s="52">
        <f t="shared" si="60"/>
        <v>7169.3892241105223</v>
      </c>
      <c r="AM38" s="52">
        <f t="shared" si="60"/>
        <v>5878.8587312583713</v>
      </c>
      <c r="AN38" s="52">
        <f t="shared" si="60"/>
        <v>5247.512744961502</v>
      </c>
      <c r="AO38" s="52">
        <f t="shared" si="60"/>
        <v>6054.6451324437512</v>
      </c>
      <c r="AP38" s="52">
        <f t="shared" si="60"/>
        <v>8653.097688318885</v>
      </c>
      <c r="AQ38" s="52">
        <f t="shared" si="60"/>
        <v>9323.714502112256</v>
      </c>
      <c r="AR38" s="52">
        <f t="shared" si="60"/>
        <v>14338.948234616537</v>
      </c>
      <c r="AS38" s="51">
        <f>SUM(AG38:AR38)</f>
        <v>110955.61291406633</v>
      </c>
      <c r="AT38" s="39">
        <f t="shared" ref="AT38:BE38" si="61">AT24+AT29+AT34+AT36</f>
        <v>13001.616416708981</v>
      </c>
      <c r="AU38" s="39">
        <f t="shared" si="61"/>
        <v>11257.412615314335</v>
      </c>
      <c r="AV38" s="39">
        <f t="shared" si="61"/>
        <v>11768.141647667175</v>
      </c>
      <c r="AW38" s="39">
        <f t="shared" si="61"/>
        <v>9122.8472337811945</v>
      </c>
      <c r="AX38" s="39">
        <f t="shared" si="61"/>
        <v>7848.5835588650516</v>
      </c>
      <c r="AY38" s="39">
        <f t="shared" si="61"/>
        <v>6223.9611353227601</v>
      </c>
      <c r="AZ38" s="39">
        <f t="shared" si="61"/>
        <v>5816.7744455301317</v>
      </c>
      <c r="BA38" s="39">
        <f t="shared" si="61"/>
        <v>5207.3862246641402</v>
      </c>
      <c r="BB38" s="39">
        <f t="shared" si="61"/>
        <v>5593.1878479013012</v>
      </c>
      <c r="BC38" s="39">
        <f t="shared" si="61"/>
        <v>7770.6610203870914</v>
      </c>
      <c r="BD38" s="39">
        <f t="shared" si="61"/>
        <v>9269.7119531414628</v>
      </c>
      <c r="BE38" s="39">
        <f t="shared" si="61"/>
        <v>12872.090078329773</v>
      </c>
      <c r="BF38" s="50">
        <f>SUM(AT38:BE38)</f>
        <v>105752.3741776134</v>
      </c>
      <c r="BG38" s="39">
        <f t="shared" ref="BG38:BR38" si="62">BG24+BG29+BG34+BG36</f>
        <v>10135.75366108534</v>
      </c>
      <c r="BH38" s="39">
        <f t="shared" si="62"/>
        <v>9259.5057235783479</v>
      </c>
      <c r="BI38" s="39">
        <f t="shared" si="62"/>
        <v>9591.4576086851903</v>
      </c>
      <c r="BJ38" s="39">
        <f t="shared" si="62"/>
        <v>8662.7554149315874</v>
      </c>
      <c r="BK38" s="39">
        <f t="shared" si="62"/>
        <v>8062.806685913004</v>
      </c>
      <c r="BL38" s="39">
        <f t="shared" si="62"/>
        <v>6847.9126942286975</v>
      </c>
      <c r="BM38" s="39">
        <f t="shared" si="62"/>
        <v>5758.7032592547584</v>
      </c>
      <c r="BN38" s="39">
        <f t="shared" si="62"/>
        <v>5261.4288310398579</v>
      </c>
      <c r="BO38" s="39">
        <f t="shared" si="62"/>
        <v>5623.0149517242589</v>
      </c>
      <c r="BP38" s="39">
        <f t="shared" si="62"/>
        <v>7539.810945756557</v>
      </c>
      <c r="BQ38" s="39">
        <f t="shared" si="62"/>
        <v>10213.21048238496</v>
      </c>
      <c r="BR38" s="39">
        <f t="shared" si="62"/>
        <v>11102.107158061357</v>
      </c>
      <c r="BS38" s="49">
        <f>SUM(BG38:BR38)</f>
        <v>98058.467416643922</v>
      </c>
      <c r="BT38" s="39">
        <v>11371.157461088258</v>
      </c>
      <c r="BU38" s="39">
        <v>11439.942797718855</v>
      </c>
      <c r="BV38" s="39">
        <v>10244.719310162254</v>
      </c>
      <c r="BW38" s="39">
        <v>9344.2829348339528</v>
      </c>
      <c r="BX38" s="39">
        <v>7443.1876694175535</v>
      </c>
      <c r="BY38" s="39">
        <v>6063.8916609627531</v>
      </c>
      <c r="BZ38" s="39">
        <v>5552.9816539012536</v>
      </c>
      <c r="CA38" s="39">
        <v>5184.2175374263534</v>
      </c>
      <c r="CB38" s="39">
        <v>5291.7606690007533</v>
      </c>
      <c r="CC38" s="39">
        <v>7713.9122385030523</v>
      </c>
      <c r="CD38" s="39">
        <v>10106.727495961457</v>
      </c>
      <c r="CE38" s="39">
        <v>11370.080700215854</v>
      </c>
      <c r="CF38" s="48">
        <f>SUM(BT38:CE38)</f>
        <v>101126.86212919235</v>
      </c>
      <c r="CG38" s="38">
        <f t="shared" ref="CG38:CR38" si="63">CG24+CG29+CG34+CG36</f>
        <v>784.28120606625373</v>
      </c>
      <c r="CH38" s="38">
        <f t="shared" si="63"/>
        <v>784.28120606625373</v>
      </c>
      <c r="CI38" s="38">
        <f t="shared" si="63"/>
        <v>784.28120606625373</v>
      </c>
      <c r="CJ38" s="38">
        <f t="shared" si="63"/>
        <v>784.28120606625373</v>
      </c>
      <c r="CK38" s="38">
        <f t="shared" si="63"/>
        <v>784.28120606625373</v>
      </c>
      <c r="CL38" s="38">
        <f t="shared" si="63"/>
        <v>784.28120606625373</v>
      </c>
      <c r="CM38" s="38">
        <f t="shared" si="63"/>
        <v>784.28120606625373</v>
      </c>
      <c r="CN38" s="38">
        <f t="shared" si="63"/>
        <v>784.28120606625373</v>
      </c>
      <c r="CO38" s="38">
        <f t="shared" si="63"/>
        <v>784.28120606625373</v>
      </c>
      <c r="CP38" s="38">
        <f t="shared" si="63"/>
        <v>784.28120606625373</v>
      </c>
      <c r="CQ38" s="38">
        <f t="shared" si="63"/>
        <v>784.28120606625373</v>
      </c>
      <c r="CR38" s="38">
        <f t="shared" si="63"/>
        <v>784.28120606625373</v>
      </c>
      <c r="CS38" s="48">
        <f>SUM(CG38:CR38)</f>
        <v>9411.3744727950452</v>
      </c>
    </row>
    <row r="39" spans="1:97" x14ac:dyDescent="0.15">
      <c r="D39" s="25"/>
      <c r="E39" s="47"/>
      <c r="F39" s="47"/>
      <c r="G39" s="36"/>
      <c r="H39" s="35"/>
      <c r="I39" s="35"/>
      <c r="J39" s="35"/>
      <c r="K39" s="35"/>
      <c r="L39" s="35"/>
      <c r="M39" s="35"/>
      <c r="N39" s="35"/>
      <c r="O39" s="35"/>
      <c r="P39" s="35"/>
      <c r="Q39" s="35"/>
      <c r="R39" s="36"/>
      <c r="S39" s="47"/>
      <c r="T39" s="36"/>
      <c r="U39" s="36"/>
      <c r="V39" s="36"/>
      <c r="W39" s="36"/>
      <c r="X39" s="36"/>
      <c r="Y39" s="36"/>
      <c r="Z39" s="36"/>
      <c r="AA39" s="36"/>
      <c r="AB39" s="36"/>
      <c r="AC39" s="36"/>
      <c r="AD39" s="36"/>
      <c r="AE39" s="36"/>
      <c r="AF39" s="32"/>
      <c r="AG39" s="36"/>
      <c r="AH39" s="32"/>
      <c r="AI39" s="32"/>
      <c r="AJ39" s="32"/>
      <c r="AK39" s="32"/>
      <c r="AL39" s="32"/>
      <c r="AM39" s="32"/>
      <c r="AN39" s="32"/>
      <c r="AO39" s="32"/>
      <c r="AP39" s="32"/>
      <c r="AQ39" s="32"/>
      <c r="AR39" s="32"/>
      <c r="AS39" s="32"/>
      <c r="AT39" s="26"/>
      <c r="BF39" s="73"/>
      <c r="BG39" s="26"/>
      <c r="BS39" s="72"/>
      <c r="BT39" s="38"/>
      <c r="BU39" s="44"/>
      <c r="BV39" s="44"/>
      <c r="BW39" s="44"/>
      <c r="BX39" s="44"/>
      <c r="BY39" s="44"/>
      <c r="BZ39" s="44"/>
      <c r="CA39" s="44"/>
      <c r="CB39" s="44"/>
      <c r="CC39" s="44"/>
      <c r="CD39" s="44"/>
      <c r="CE39" s="44"/>
      <c r="CG39" s="38"/>
      <c r="CH39" s="44"/>
      <c r="CI39" s="44"/>
      <c r="CJ39" s="44"/>
      <c r="CK39" s="44"/>
      <c r="CL39" s="44"/>
      <c r="CM39" s="44"/>
      <c r="CN39" s="44"/>
      <c r="CO39" s="44"/>
      <c r="CP39" s="44"/>
      <c r="CQ39" s="44"/>
      <c r="CR39" s="44"/>
    </row>
    <row r="40" spans="1:97" ht="16" x14ac:dyDescent="0.2">
      <c r="A40" s="43" t="s">
        <v>19</v>
      </c>
      <c r="B40" s="29"/>
      <c r="D40" s="25"/>
      <c r="E40" s="47"/>
      <c r="F40" s="65"/>
      <c r="G40" s="36"/>
      <c r="H40" s="35"/>
      <c r="I40" s="35"/>
      <c r="J40" s="35"/>
      <c r="K40" s="35"/>
      <c r="L40" s="35"/>
      <c r="M40" s="35"/>
      <c r="N40" s="35"/>
      <c r="O40" s="35"/>
      <c r="P40" s="35"/>
      <c r="Q40" s="35"/>
      <c r="R40" s="64"/>
      <c r="S40" s="64"/>
      <c r="T40" s="64"/>
      <c r="U40" s="64"/>
      <c r="V40" s="64"/>
      <c r="W40" s="64"/>
      <c r="X40" s="64"/>
      <c r="Y40" s="64"/>
      <c r="Z40" s="64"/>
      <c r="AA40" s="64"/>
      <c r="AB40" s="64"/>
      <c r="AC40" s="64"/>
      <c r="AD40" s="64"/>
      <c r="AE40" s="64"/>
      <c r="AF40" s="76"/>
      <c r="AG40" s="64"/>
      <c r="AH40" s="32"/>
      <c r="AI40" s="32"/>
      <c r="AJ40" s="32"/>
      <c r="AK40" s="32"/>
      <c r="AL40" s="32"/>
      <c r="AM40" s="32"/>
      <c r="AN40" s="32"/>
      <c r="AO40" s="32"/>
      <c r="AP40" s="32"/>
      <c r="AQ40" s="32"/>
      <c r="AR40" s="32"/>
      <c r="AS40" s="76"/>
      <c r="AT40" s="60"/>
      <c r="BF40" s="75"/>
      <c r="BG40" s="60"/>
      <c r="BS40" s="74"/>
      <c r="BT40" s="61"/>
      <c r="BU40" s="44"/>
      <c r="BV40" s="44"/>
      <c r="BW40" s="44"/>
      <c r="BX40" s="44"/>
      <c r="BY40" s="44"/>
      <c r="BZ40" s="44"/>
      <c r="CA40" s="44"/>
      <c r="CB40" s="44"/>
      <c r="CC40" s="44"/>
      <c r="CD40" s="44"/>
      <c r="CE40" s="44"/>
      <c r="CF40" s="43"/>
      <c r="CG40" s="61"/>
      <c r="CH40" s="44"/>
      <c r="CI40" s="44"/>
      <c r="CJ40" s="44"/>
      <c r="CK40" s="44"/>
      <c r="CL40" s="44"/>
      <c r="CM40" s="44"/>
      <c r="CN40" s="44"/>
      <c r="CO40" s="44"/>
      <c r="CP40" s="44"/>
      <c r="CQ40" s="44"/>
      <c r="CR40" s="44"/>
      <c r="CS40" s="43"/>
    </row>
    <row r="41" spans="1:97" x14ac:dyDescent="0.15">
      <c r="D41" s="25"/>
      <c r="E41" s="47"/>
      <c r="F41" s="47"/>
      <c r="G41" s="36"/>
      <c r="H41" s="35"/>
      <c r="I41" s="35"/>
      <c r="J41" s="35"/>
      <c r="K41" s="35"/>
      <c r="L41" s="35"/>
      <c r="M41" s="35"/>
      <c r="N41" s="35"/>
      <c r="O41" s="35"/>
      <c r="P41" s="35"/>
      <c r="Q41" s="35"/>
      <c r="R41" s="36"/>
      <c r="S41" s="36"/>
      <c r="T41" s="36"/>
      <c r="U41" s="36"/>
      <c r="V41" s="36"/>
      <c r="W41" s="36"/>
      <c r="X41" s="36"/>
      <c r="Y41" s="36"/>
      <c r="Z41" s="36"/>
      <c r="AA41" s="36"/>
      <c r="AB41" s="36"/>
      <c r="AC41" s="36"/>
      <c r="AD41" s="36"/>
      <c r="AE41" s="36"/>
      <c r="AF41" s="32"/>
      <c r="AG41" s="36"/>
      <c r="AH41" s="32"/>
      <c r="AI41" s="32"/>
      <c r="AJ41" s="32"/>
      <c r="AK41" s="32"/>
      <c r="AL41" s="32"/>
      <c r="AM41" s="32"/>
      <c r="AN41" s="32"/>
      <c r="AO41" s="32"/>
      <c r="AP41" s="32"/>
      <c r="AQ41" s="32"/>
      <c r="AR41" s="32"/>
      <c r="AS41" s="32"/>
      <c r="AT41" s="26"/>
      <c r="BF41" s="73"/>
      <c r="BG41" s="26"/>
      <c r="BS41" s="72"/>
      <c r="BT41" s="38"/>
      <c r="BU41" s="44"/>
      <c r="BV41" s="44"/>
      <c r="BW41" s="44"/>
      <c r="BX41" s="44"/>
      <c r="BY41" s="44"/>
      <c r="BZ41" s="44"/>
      <c r="CA41" s="44"/>
      <c r="CB41" s="44"/>
      <c r="CC41" s="44"/>
      <c r="CD41" s="44"/>
      <c r="CE41" s="44"/>
      <c r="CG41" s="38"/>
      <c r="CH41" s="44"/>
      <c r="CI41" s="44"/>
      <c r="CJ41" s="44"/>
      <c r="CK41" s="44"/>
      <c r="CL41" s="44"/>
      <c r="CM41" s="44"/>
      <c r="CN41" s="44"/>
      <c r="CO41" s="44"/>
      <c r="CP41" s="44"/>
      <c r="CQ41" s="44"/>
      <c r="CR41" s="44"/>
    </row>
    <row r="42" spans="1:97" x14ac:dyDescent="0.15">
      <c r="A42" s="22" t="s">
        <v>2</v>
      </c>
      <c r="B42" s="22" t="s">
        <v>20</v>
      </c>
      <c r="D42" s="25"/>
      <c r="E42" s="47">
        <v>16133</v>
      </c>
      <c r="F42" s="47">
        <v>0</v>
      </c>
      <c r="G42" s="36">
        <f>20578604*0</f>
        <v>0</v>
      </c>
      <c r="H42" s="35">
        <f>22049922*0</f>
        <v>0</v>
      </c>
      <c r="I42" s="35">
        <f>19640390*0</f>
        <v>0</v>
      </c>
      <c r="J42" s="35">
        <f>21429392*0</f>
        <v>0</v>
      </c>
      <c r="K42" s="35">
        <f>23656270*0</f>
        <v>0</v>
      </c>
      <c r="L42" s="35">
        <f>28796544*0</f>
        <v>0</v>
      </c>
      <c r="M42" s="35">
        <f>23703412*0</f>
        <v>0</v>
      </c>
      <c r="N42" s="35">
        <f>24730972*0</f>
        <v>0</v>
      </c>
      <c r="O42" s="35">
        <f>25172924*0</f>
        <v>0</v>
      </c>
      <c r="P42" s="35">
        <f>24827922*0</f>
        <v>0</v>
      </c>
      <c r="Q42" s="35">
        <f>22268014*0</f>
        <v>0</v>
      </c>
      <c r="R42" s="36">
        <f>21853304*0</f>
        <v>0</v>
      </c>
      <c r="S42" s="47">
        <f t="shared" ref="S42:S49" si="64">SUM(G42:R42)</f>
        <v>0</v>
      </c>
      <c r="T42" s="36">
        <f>21855362*0</f>
        <v>0</v>
      </c>
      <c r="U42" s="35">
        <f>23785490*0</f>
        <v>0</v>
      </c>
      <c r="V42" s="35">
        <f>22395818*0</f>
        <v>0</v>
      </c>
      <c r="W42" s="35">
        <f>23762532*0</f>
        <v>0</v>
      </c>
      <c r="X42" s="35">
        <f>23020314*0</f>
        <v>0</v>
      </c>
      <c r="Y42" s="35">
        <f>28089582*0</f>
        <v>0</v>
      </c>
      <c r="Z42" s="36">
        <v>0</v>
      </c>
      <c r="AA42" s="36">
        <v>0</v>
      </c>
      <c r="AB42" s="36">
        <v>0</v>
      </c>
      <c r="AC42" s="36">
        <v>0</v>
      </c>
      <c r="AD42" s="36">
        <v>0</v>
      </c>
      <c r="AE42" s="36">
        <v>0</v>
      </c>
      <c r="AF42" s="47">
        <f t="shared" ref="AF42:AF49" si="65">SUM(T42:AE42)</f>
        <v>0</v>
      </c>
      <c r="AG42" s="36">
        <f>21855362*0</f>
        <v>0</v>
      </c>
      <c r="AH42" s="35">
        <f>23785490*0</f>
        <v>0</v>
      </c>
      <c r="AI42" s="35">
        <f>22395818*0</f>
        <v>0</v>
      </c>
      <c r="AJ42" s="35">
        <f>23762532*0</f>
        <v>0</v>
      </c>
      <c r="AK42" s="35">
        <f>23020314*0</f>
        <v>0</v>
      </c>
      <c r="AL42" s="35">
        <f>28089582*0</f>
        <v>0</v>
      </c>
      <c r="AM42" s="36">
        <v>0</v>
      </c>
      <c r="AN42" s="36">
        <v>0</v>
      </c>
      <c r="AO42" s="36">
        <v>0</v>
      </c>
      <c r="AP42" s="36">
        <v>0</v>
      </c>
      <c r="AQ42" s="36">
        <v>0</v>
      </c>
      <c r="AR42" s="36">
        <v>0</v>
      </c>
      <c r="AS42" s="47">
        <f t="shared" ref="AS42:AS49" si="66">SUM(AG42:AR42)</f>
        <v>0</v>
      </c>
      <c r="AT42" s="26">
        <f>21855362*0</f>
        <v>0</v>
      </c>
      <c r="AU42" s="25">
        <f>23785490*0</f>
        <v>0</v>
      </c>
      <c r="AV42" s="25">
        <f>22395818*0</f>
        <v>0</v>
      </c>
      <c r="AW42" s="25">
        <f>23762532*0</f>
        <v>0</v>
      </c>
      <c r="AX42" s="25">
        <f>23020314*0</f>
        <v>0</v>
      </c>
      <c r="AY42" s="25">
        <f>28089582*0</f>
        <v>0</v>
      </c>
      <c r="AZ42" s="26">
        <v>0</v>
      </c>
      <c r="BA42" s="26">
        <v>0</v>
      </c>
      <c r="BB42" s="26">
        <v>0</v>
      </c>
      <c r="BC42" s="26">
        <v>0</v>
      </c>
      <c r="BD42" s="26">
        <v>0</v>
      </c>
      <c r="BE42" s="26">
        <v>0</v>
      </c>
      <c r="BF42" s="56">
        <f t="shared" ref="BF42:BF49" si="67">SUM(AT42:BE42)</f>
        <v>0</v>
      </c>
      <c r="BG42" s="26">
        <f>21855362*0</f>
        <v>0</v>
      </c>
      <c r="BH42" s="25">
        <f>23785490*0</f>
        <v>0</v>
      </c>
      <c r="BI42" s="25">
        <f>22395818*0</f>
        <v>0</v>
      </c>
      <c r="BJ42" s="25">
        <f>23762532*0</f>
        <v>0</v>
      </c>
      <c r="BK42" s="25">
        <f>23020314*0</f>
        <v>0</v>
      </c>
      <c r="BL42" s="25">
        <f>28089582*0</f>
        <v>0</v>
      </c>
      <c r="BM42" s="26">
        <v>0</v>
      </c>
      <c r="BN42" s="26">
        <v>0</v>
      </c>
      <c r="BO42" s="26">
        <v>0</v>
      </c>
      <c r="BP42" s="26">
        <v>0</v>
      </c>
      <c r="BQ42" s="26">
        <v>0</v>
      </c>
      <c r="BR42" s="26">
        <v>0</v>
      </c>
      <c r="BS42" s="55">
        <f t="shared" ref="BS42:BS49" si="68">SUM(BG42:BR42)</f>
        <v>0</v>
      </c>
      <c r="BT42" s="26">
        <v>0</v>
      </c>
      <c r="BU42" s="26">
        <v>0</v>
      </c>
      <c r="BV42" s="26">
        <v>0</v>
      </c>
      <c r="BW42" s="26">
        <v>0</v>
      </c>
      <c r="BX42" s="26">
        <v>0</v>
      </c>
      <c r="BY42" s="26">
        <v>0</v>
      </c>
      <c r="BZ42" s="26">
        <v>0</v>
      </c>
      <c r="CA42" s="26">
        <v>0</v>
      </c>
      <c r="CB42" s="26">
        <v>0</v>
      </c>
      <c r="CC42" s="26">
        <v>0</v>
      </c>
      <c r="CD42" s="26">
        <v>0</v>
      </c>
      <c r="CE42" s="26">
        <v>0</v>
      </c>
      <c r="CF42" s="54">
        <f t="shared" ref="CF42:CF49" si="69">SUM(BT42:CE42)</f>
        <v>0</v>
      </c>
      <c r="CG42" s="38">
        <f>21855362*0</f>
        <v>0</v>
      </c>
      <c r="CH42" s="71">
        <f>23785490*0</f>
        <v>0</v>
      </c>
      <c r="CI42" s="71">
        <f>22395818*0</f>
        <v>0</v>
      </c>
      <c r="CJ42" s="71">
        <f>23762532*0</f>
        <v>0</v>
      </c>
      <c r="CK42" s="71">
        <f>23020314*0</f>
        <v>0</v>
      </c>
      <c r="CL42" s="71">
        <f>28089582*0</f>
        <v>0</v>
      </c>
      <c r="CM42" s="38">
        <v>0</v>
      </c>
      <c r="CN42" s="38">
        <v>0</v>
      </c>
      <c r="CO42" s="38">
        <v>0</v>
      </c>
      <c r="CP42" s="38">
        <v>0</v>
      </c>
      <c r="CQ42" s="38">
        <v>0</v>
      </c>
      <c r="CR42" s="38">
        <v>0</v>
      </c>
      <c r="CS42" s="54">
        <f t="shared" ref="CS42:CS49" si="70">SUM(CG42:CR42)</f>
        <v>0</v>
      </c>
    </row>
    <row r="43" spans="1:97" x14ac:dyDescent="0.15">
      <c r="B43" s="22" t="s">
        <v>21</v>
      </c>
      <c r="D43" s="25"/>
      <c r="E43" s="47">
        <v>986</v>
      </c>
      <c r="F43" s="47">
        <v>0</v>
      </c>
      <c r="G43" s="36">
        <f>1561121*0</f>
        <v>0</v>
      </c>
      <c r="H43" s="35">
        <f>1461249*0</f>
        <v>0</v>
      </c>
      <c r="I43" s="35">
        <f>1510683*0</f>
        <v>0</v>
      </c>
      <c r="J43" s="35">
        <f>1271370*0</f>
        <v>0</v>
      </c>
      <c r="K43" s="35">
        <f>1390114*0</f>
        <v>0</v>
      </c>
      <c r="L43" s="35">
        <f>1452620*0</f>
        <v>0</v>
      </c>
      <c r="M43" s="35">
        <f>1195631*0</f>
        <v>0</v>
      </c>
      <c r="N43" s="35">
        <f>1176165*0</f>
        <v>0</v>
      </c>
      <c r="O43" s="35">
        <f>1248861*0</f>
        <v>0</v>
      </c>
      <c r="P43" s="35">
        <f>1176631*0</f>
        <v>0</v>
      </c>
      <c r="Q43" s="35">
        <f>1465441*0</f>
        <v>0</v>
      </c>
      <c r="R43" s="36">
        <f>1337036*0</f>
        <v>0</v>
      </c>
      <c r="S43" s="47">
        <f t="shared" si="64"/>
        <v>0</v>
      </c>
      <c r="T43" s="36">
        <f>1422265*0</f>
        <v>0</v>
      </c>
      <c r="U43" s="35">
        <f>1284319*0</f>
        <v>0</v>
      </c>
      <c r="V43" s="35">
        <f>1301599*0</f>
        <v>0</v>
      </c>
      <c r="W43" s="35">
        <f>1086897*0</f>
        <v>0</v>
      </c>
      <c r="X43" s="35">
        <f>1218422*0</f>
        <v>0</v>
      </c>
      <c r="Y43" s="35">
        <f>1139661*0</f>
        <v>0</v>
      </c>
      <c r="Z43" s="36">
        <v>0</v>
      </c>
      <c r="AA43" s="36">
        <v>0</v>
      </c>
      <c r="AB43" s="36">
        <v>0</v>
      </c>
      <c r="AC43" s="36">
        <v>0</v>
      </c>
      <c r="AD43" s="36">
        <v>0</v>
      </c>
      <c r="AE43" s="36">
        <v>0</v>
      </c>
      <c r="AF43" s="47">
        <f t="shared" si="65"/>
        <v>0</v>
      </c>
      <c r="AG43" s="36">
        <f>1422265*0</f>
        <v>0</v>
      </c>
      <c r="AH43" s="35">
        <f>1284319*0</f>
        <v>0</v>
      </c>
      <c r="AI43" s="35">
        <f>1301599*0</f>
        <v>0</v>
      </c>
      <c r="AJ43" s="35">
        <f>1086897*0</f>
        <v>0</v>
      </c>
      <c r="AK43" s="35">
        <f>1218422*0</f>
        <v>0</v>
      </c>
      <c r="AL43" s="35">
        <f>1139661*0</f>
        <v>0</v>
      </c>
      <c r="AM43" s="36">
        <v>0</v>
      </c>
      <c r="AN43" s="36">
        <v>0</v>
      </c>
      <c r="AO43" s="36">
        <v>0</v>
      </c>
      <c r="AP43" s="36">
        <v>0</v>
      </c>
      <c r="AQ43" s="36">
        <v>0</v>
      </c>
      <c r="AR43" s="36">
        <v>0</v>
      </c>
      <c r="AS43" s="47">
        <f t="shared" si="66"/>
        <v>0</v>
      </c>
      <c r="AT43" s="26">
        <f>1422265*0</f>
        <v>0</v>
      </c>
      <c r="AU43" s="25">
        <f>1284319*0</f>
        <v>0</v>
      </c>
      <c r="AV43" s="25">
        <f>1301599*0</f>
        <v>0</v>
      </c>
      <c r="AW43" s="25">
        <f>1086897*0</f>
        <v>0</v>
      </c>
      <c r="AX43" s="25">
        <f>1218422*0</f>
        <v>0</v>
      </c>
      <c r="AY43" s="25">
        <f>1139661*0</f>
        <v>0</v>
      </c>
      <c r="AZ43" s="26">
        <v>0</v>
      </c>
      <c r="BA43" s="26">
        <v>0</v>
      </c>
      <c r="BB43" s="26">
        <v>0</v>
      </c>
      <c r="BC43" s="26">
        <v>0</v>
      </c>
      <c r="BD43" s="26">
        <v>0</v>
      </c>
      <c r="BE43" s="26">
        <v>0</v>
      </c>
      <c r="BF43" s="56">
        <f t="shared" si="67"/>
        <v>0</v>
      </c>
      <c r="BG43" s="26">
        <f>1422265*0</f>
        <v>0</v>
      </c>
      <c r="BH43" s="25">
        <f>1284319*0</f>
        <v>0</v>
      </c>
      <c r="BI43" s="25">
        <f>1301599*0</f>
        <v>0</v>
      </c>
      <c r="BJ43" s="25">
        <f>1086897*0</f>
        <v>0</v>
      </c>
      <c r="BK43" s="25">
        <f>1218422*0</f>
        <v>0</v>
      </c>
      <c r="BL43" s="25">
        <f>1139661*0</f>
        <v>0</v>
      </c>
      <c r="BM43" s="26">
        <v>0</v>
      </c>
      <c r="BN43" s="26">
        <v>0</v>
      </c>
      <c r="BO43" s="26">
        <v>0</v>
      </c>
      <c r="BP43" s="26">
        <v>0</v>
      </c>
      <c r="BQ43" s="26">
        <v>0</v>
      </c>
      <c r="BR43" s="26">
        <v>0</v>
      </c>
      <c r="BS43" s="55">
        <f t="shared" si="68"/>
        <v>0</v>
      </c>
      <c r="BT43" s="26">
        <v>0</v>
      </c>
      <c r="BU43" s="26">
        <v>0</v>
      </c>
      <c r="BV43" s="26">
        <v>0</v>
      </c>
      <c r="BW43" s="26">
        <v>0</v>
      </c>
      <c r="BX43" s="26">
        <v>0</v>
      </c>
      <c r="BY43" s="26">
        <v>0</v>
      </c>
      <c r="BZ43" s="26">
        <v>0</v>
      </c>
      <c r="CA43" s="26">
        <v>0</v>
      </c>
      <c r="CB43" s="26">
        <v>0</v>
      </c>
      <c r="CC43" s="26">
        <v>0</v>
      </c>
      <c r="CD43" s="26">
        <v>0</v>
      </c>
      <c r="CE43" s="26">
        <v>0</v>
      </c>
      <c r="CF43" s="54">
        <f t="shared" si="69"/>
        <v>0</v>
      </c>
      <c r="CG43" s="38">
        <f>1422265*0</f>
        <v>0</v>
      </c>
      <c r="CH43" s="71">
        <f>1284319*0</f>
        <v>0</v>
      </c>
      <c r="CI43" s="71">
        <f>1301599*0</f>
        <v>0</v>
      </c>
      <c r="CJ43" s="71">
        <f>1086897*0</f>
        <v>0</v>
      </c>
      <c r="CK43" s="71">
        <f>1218422*0</f>
        <v>0</v>
      </c>
      <c r="CL43" s="71">
        <f>1139661*0</f>
        <v>0</v>
      </c>
      <c r="CM43" s="38">
        <v>0</v>
      </c>
      <c r="CN43" s="38">
        <v>0</v>
      </c>
      <c r="CO43" s="38">
        <v>0</v>
      </c>
      <c r="CP43" s="38">
        <v>0</v>
      </c>
      <c r="CQ43" s="38">
        <v>0</v>
      </c>
      <c r="CR43" s="38">
        <v>0</v>
      </c>
      <c r="CS43" s="54">
        <f t="shared" si="70"/>
        <v>0</v>
      </c>
    </row>
    <row r="44" spans="1:97" x14ac:dyDescent="0.15">
      <c r="B44" s="22" t="s">
        <v>22</v>
      </c>
      <c r="D44" s="25">
        <v>16</v>
      </c>
      <c r="E44" s="47">
        <v>7410</v>
      </c>
      <c r="F44" s="47">
        <f t="shared" ref="F44:R44" si="71">SUM(F45:F48)</f>
        <v>4673</v>
      </c>
      <c r="G44" s="36">
        <f t="shared" si="71"/>
        <v>528.4215825</v>
      </c>
      <c r="H44" s="36">
        <f t="shared" si="71"/>
        <v>575.36410749999993</v>
      </c>
      <c r="I44" s="36">
        <f t="shared" si="71"/>
        <v>710.21550250000007</v>
      </c>
      <c r="J44" s="36">
        <f t="shared" si="71"/>
        <v>653.6815775</v>
      </c>
      <c r="K44" s="36">
        <f t="shared" si="71"/>
        <v>356.56951749999996</v>
      </c>
      <c r="L44" s="36">
        <f t="shared" si="71"/>
        <v>280.84357</v>
      </c>
      <c r="M44" s="36">
        <f t="shared" si="71"/>
        <v>219.72606249999998</v>
      </c>
      <c r="N44" s="36">
        <f t="shared" si="71"/>
        <v>231.00518000000002</v>
      </c>
      <c r="O44" s="36">
        <f t="shared" si="71"/>
        <v>243.70456249999998</v>
      </c>
      <c r="P44" s="36">
        <f t="shared" si="71"/>
        <v>346.00975500000004</v>
      </c>
      <c r="Q44" s="36">
        <f t="shared" si="71"/>
        <v>492.69361750000007</v>
      </c>
      <c r="R44" s="36">
        <f t="shared" si="71"/>
        <v>528.76281500000005</v>
      </c>
      <c r="S44" s="47">
        <f t="shared" si="64"/>
        <v>5166.9978500000007</v>
      </c>
      <c r="T44" s="36">
        <f t="shared" ref="T44:AE44" si="72">SUM(T45:T48)</f>
        <v>709.59759499999996</v>
      </c>
      <c r="U44" s="36">
        <f t="shared" si="72"/>
        <v>759.59276750000004</v>
      </c>
      <c r="V44" s="36">
        <f t="shared" si="72"/>
        <v>559.28006749999997</v>
      </c>
      <c r="W44" s="36">
        <f t="shared" si="72"/>
        <v>438.26242249999996</v>
      </c>
      <c r="X44" s="36">
        <f t="shared" si="72"/>
        <v>351.37724999999995</v>
      </c>
      <c r="Y44" s="36">
        <f t="shared" si="72"/>
        <v>282.24538999999999</v>
      </c>
      <c r="Z44" s="36">
        <f t="shared" si="72"/>
        <v>274.52615750000001</v>
      </c>
      <c r="AA44" s="36">
        <f t="shared" si="72"/>
        <v>255.20502000000005</v>
      </c>
      <c r="AB44" s="36">
        <f t="shared" si="72"/>
        <v>210.35600250000002</v>
      </c>
      <c r="AC44" s="36">
        <f t="shared" si="72"/>
        <v>345.45640499999996</v>
      </c>
      <c r="AD44" s="36">
        <f t="shared" si="72"/>
        <v>410.41969500000005</v>
      </c>
      <c r="AE44" s="36">
        <f t="shared" si="72"/>
        <v>496.58551249999999</v>
      </c>
      <c r="AF44" s="47">
        <f t="shared" si="65"/>
        <v>5092.9042850000005</v>
      </c>
      <c r="AG44" s="36">
        <f t="shared" ref="AG44:AR44" si="73">SUM(AG45:AG48)</f>
        <v>507.7262925</v>
      </c>
      <c r="AH44" s="36">
        <f t="shared" si="73"/>
        <v>442.09898250000003</v>
      </c>
      <c r="AI44" s="36">
        <f t="shared" si="73"/>
        <v>473.05891499999996</v>
      </c>
      <c r="AJ44" s="36">
        <f t="shared" si="73"/>
        <v>433.94629249999997</v>
      </c>
      <c r="AK44" s="36">
        <f t="shared" si="73"/>
        <v>323.49763250000001</v>
      </c>
      <c r="AL44" s="36">
        <f t="shared" si="73"/>
        <v>232.6744525</v>
      </c>
      <c r="AM44" s="36">
        <f t="shared" si="73"/>
        <v>138.90929500000001</v>
      </c>
      <c r="AN44" s="36">
        <f t="shared" si="73"/>
        <v>169.25132000000002</v>
      </c>
      <c r="AO44" s="36">
        <f t="shared" si="73"/>
        <v>165.89432999999997</v>
      </c>
      <c r="AP44" s="36">
        <f t="shared" si="73"/>
        <v>221.00799000000001</v>
      </c>
      <c r="AQ44" s="36">
        <f t="shared" si="73"/>
        <v>268.84509750000001</v>
      </c>
      <c r="AR44" s="36">
        <f t="shared" si="73"/>
        <v>511.03717</v>
      </c>
      <c r="AS44" s="47">
        <f t="shared" si="66"/>
        <v>3887.9477700000002</v>
      </c>
      <c r="AT44" s="26">
        <f t="shared" ref="AT44:BE44" si="74">SUM(AT45:AT48)</f>
        <v>442.81833749999998</v>
      </c>
      <c r="AU44" s="26">
        <f t="shared" si="74"/>
        <v>317.50300750000002</v>
      </c>
      <c r="AV44" s="26">
        <f t="shared" si="74"/>
        <v>372.86567499999995</v>
      </c>
      <c r="AW44" s="26">
        <f t="shared" si="74"/>
        <v>266.83459250000004</v>
      </c>
      <c r="AX44" s="26">
        <f t="shared" si="74"/>
        <v>226.10803250000004</v>
      </c>
      <c r="AY44" s="26">
        <f t="shared" si="74"/>
        <v>154.53221000000002</v>
      </c>
      <c r="AZ44" s="26">
        <f t="shared" si="74"/>
        <v>217.27287749999996</v>
      </c>
      <c r="BA44" s="26">
        <f t="shared" si="74"/>
        <v>233.79037499999998</v>
      </c>
      <c r="BB44" s="26">
        <f t="shared" si="74"/>
        <v>238.73363499999999</v>
      </c>
      <c r="BC44" s="26">
        <f t="shared" si="74"/>
        <v>367.12927999999999</v>
      </c>
      <c r="BD44" s="26">
        <f t="shared" si="74"/>
        <v>437.89352249999996</v>
      </c>
      <c r="BE44" s="26">
        <f t="shared" si="74"/>
        <v>544.45028750000006</v>
      </c>
      <c r="BF44" s="56">
        <f t="shared" si="67"/>
        <v>3819.9318325000004</v>
      </c>
      <c r="BG44" s="26">
        <f t="shared" ref="BG44:BR44" si="75">SUM(BG45:BG48)</f>
        <v>411.21559999999999</v>
      </c>
      <c r="BH44" s="26">
        <f t="shared" si="75"/>
        <v>313.6182</v>
      </c>
      <c r="BI44" s="26">
        <f t="shared" si="75"/>
        <v>370.12430000000001</v>
      </c>
      <c r="BJ44" s="26">
        <f t="shared" si="75"/>
        <v>359.60450000000003</v>
      </c>
      <c r="BK44" s="26">
        <f t="shared" si="75"/>
        <v>320.87170000000003</v>
      </c>
      <c r="BL44" s="26">
        <f t="shared" si="75"/>
        <v>292.21369999999996</v>
      </c>
      <c r="BM44" s="26">
        <f t="shared" si="75"/>
        <v>237.06039999999996</v>
      </c>
      <c r="BN44" s="26">
        <f t="shared" si="75"/>
        <v>199.27099999999999</v>
      </c>
      <c r="BO44" s="26">
        <f t="shared" si="75"/>
        <v>230.86599999999999</v>
      </c>
      <c r="BP44" s="26">
        <f t="shared" si="75"/>
        <v>308.72320000000002</v>
      </c>
      <c r="BQ44" s="26">
        <f t="shared" si="75"/>
        <v>516.44029999999998</v>
      </c>
      <c r="BR44" s="26">
        <f t="shared" si="75"/>
        <v>516.46699999999998</v>
      </c>
      <c r="BS44" s="55">
        <f t="shared" si="68"/>
        <v>4076.4758999999999</v>
      </c>
      <c r="BT44" s="39">
        <v>576.97810000000004</v>
      </c>
      <c r="BU44" s="39">
        <v>581.95319999999992</v>
      </c>
      <c r="BV44" s="39">
        <v>524.15660000000003</v>
      </c>
      <c r="BW44" s="39">
        <v>428.75749999999994</v>
      </c>
      <c r="BX44" s="39">
        <v>348.21249999999998</v>
      </c>
      <c r="BY44" s="39">
        <v>327.1284</v>
      </c>
      <c r="BZ44" s="39">
        <v>314.57939999999996</v>
      </c>
      <c r="CA44" s="39">
        <v>167.08860000000001</v>
      </c>
      <c r="CB44" s="39">
        <v>215.94960000000003</v>
      </c>
      <c r="CC44" s="39">
        <v>321.42349999999999</v>
      </c>
      <c r="CD44" s="39">
        <v>439.24169999999992</v>
      </c>
      <c r="CE44" s="39">
        <v>496.02369999999996</v>
      </c>
      <c r="CF44" s="54">
        <f t="shared" si="69"/>
        <v>4741.4928</v>
      </c>
      <c r="CG44" s="38">
        <f t="shared" ref="CG44:CR44" si="76">SUM(CG45:CG48)</f>
        <v>0</v>
      </c>
      <c r="CH44" s="38">
        <f t="shared" si="76"/>
        <v>0</v>
      </c>
      <c r="CI44" s="38">
        <f t="shared" si="76"/>
        <v>0</v>
      </c>
      <c r="CJ44" s="38">
        <f t="shared" si="76"/>
        <v>0</v>
      </c>
      <c r="CK44" s="38">
        <f t="shared" si="76"/>
        <v>0</v>
      </c>
      <c r="CL44" s="38">
        <f t="shared" si="76"/>
        <v>0</v>
      </c>
      <c r="CM44" s="38">
        <f t="shared" si="76"/>
        <v>0</v>
      </c>
      <c r="CN44" s="38">
        <f t="shared" si="76"/>
        <v>0</v>
      </c>
      <c r="CO44" s="38">
        <f t="shared" si="76"/>
        <v>0</v>
      </c>
      <c r="CP44" s="38">
        <f t="shared" si="76"/>
        <v>0</v>
      </c>
      <c r="CQ44" s="38">
        <f t="shared" si="76"/>
        <v>0</v>
      </c>
      <c r="CR44" s="38">
        <f t="shared" si="76"/>
        <v>0</v>
      </c>
      <c r="CS44" s="54">
        <f t="shared" si="70"/>
        <v>0</v>
      </c>
    </row>
    <row r="45" spans="1:97" x14ac:dyDescent="0.15">
      <c r="B45" s="22" t="s">
        <v>23</v>
      </c>
      <c r="D45" s="25"/>
      <c r="E45" s="47"/>
      <c r="F45" s="66">
        <v>2856</v>
      </c>
      <c r="G45" s="70">
        <v>289.1899325</v>
      </c>
      <c r="H45" s="70">
        <v>346.73833250000001</v>
      </c>
      <c r="I45" s="70">
        <v>490.16665250000005</v>
      </c>
      <c r="J45" s="70">
        <v>513.22290250000003</v>
      </c>
      <c r="K45" s="70">
        <v>244.31324749999999</v>
      </c>
      <c r="L45" s="70">
        <v>194.15207000000004</v>
      </c>
      <c r="M45" s="70">
        <v>151.11066249999999</v>
      </c>
      <c r="N45" s="70">
        <v>165.80210500000001</v>
      </c>
      <c r="O45" s="70">
        <v>173.52133749999999</v>
      </c>
      <c r="P45" s="70">
        <v>227.13173000000003</v>
      </c>
      <c r="Q45" s="70">
        <v>255.39869250000004</v>
      </c>
      <c r="R45" s="70">
        <v>304.47161500000004</v>
      </c>
      <c r="S45" s="47">
        <f t="shared" si="64"/>
        <v>3355.2192799999998</v>
      </c>
      <c r="T45" s="70">
        <v>390.59132</v>
      </c>
      <c r="U45" s="70">
        <v>514.6431675</v>
      </c>
      <c r="V45" s="70">
        <v>310.54924249999999</v>
      </c>
      <c r="W45" s="70">
        <v>232.7851225</v>
      </c>
      <c r="X45" s="70">
        <v>231.66919999999999</v>
      </c>
      <c r="Y45" s="70">
        <v>217.595665</v>
      </c>
      <c r="Z45" s="70">
        <v>228.04475750000003</v>
      </c>
      <c r="AA45" s="70">
        <v>199.77779500000003</v>
      </c>
      <c r="AB45" s="70">
        <v>143.5851025</v>
      </c>
      <c r="AC45" s="70">
        <v>199.925355</v>
      </c>
      <c r="AD45" s="70">
        <v>222.55737000000002</v>
      </c>
      <c r="AE45" s="70">
        <v>251.08256249999999</v>
      </c>
      <c r="AF45" s="47">
        <f t="shared" si="65"/>
        <v>3142.8066600000002</v>
      </c>
      <c r="AG45" s="70">
        <v>236.03144250000003</v>
      </c>
      <c r="AH45" s="70">
        <v>204.52738250000002</v>
      </c>
      <c r="AI45" s="70">
        <v>216.39673999999999</v>
      </c>
      <c r="AJ45" s="70">
        <v>303.07901750000002</v>
      </c>
      <c r="AK45" s="70">
        <v>251.74658250000002</v>
      </c>
      <c r="AL45" s="70">
        <v>163.4134775</v>
      </c>
      <c r="AM45" s="70">
        <v>97.315820000000002</v>
      </c>
      <c r="AN45" s="70">
        <v>126.27446999999999</v>
      </c>
      <c r="AO45" s="70">
        <v>114.156105</v>
      </c>
      <c r="AP45" s="70">
        <v>118.17711500000001</v>
      </c>
      <c r="AQ45" s="70">
        <v>135.67219750000001</v>
      </c>
      <c r="AR45" s="70">
        <v>219.23727000000002</v>
      </c>
      <c r="AS45" s="47">
        <f t="shared" si="66"/>
        <v>2186.0276200000003</v>
      </c>
      <c r="AT45" s="69">
        <v>197.13093749999999</v>
      </c>
      <c r="AU45" s="69">
        <v>169.57410750000003</v>
      </c>
      <c r="AV45" s="69">
        <v>186.6634</v>
      </c>
      <c r="AW45" s="69">
        <v>150.16996750000001</v>
      </c>
      <c r="AX45" s="69">
        <v>141.35325750000004</v>
      </c>
      <c r="AY45" s="69">
        <v>90.066935000000015</v>
      </c>
      <c r="AZ45" s="69">
        <v>156.68105249999999</v>
      </c>
      <c r="BA45" s="69">
        <v>170.339575</v>
      </c>
      <c r="BB45" s="69">
        <v>172.14718500000001</v>
      </c>
      <c r="BC45" s="69">
        <v>220.03040500000003</v>
      </c>
      <c r="BD45" s="69">
        <v>238.22639749999999</v>
      </c>
      <c r="BE45" s="69">
        <v>323.47918750000002</v>
      </c>
      <c r="BF45" s="56">
        <f t="shared" si="67"/>
        <v>2215.8624075000002</v>
      </c>
      <c r="BG45" s="69">
        <v>245.8536</v>
      </c>
      <c r="BH45" s="69">
        <v>181.63119999999998</v>
      </c>
      <c r="BI45" s="69">
        <v>211.79329999999999</v>
      </c>
      <c r="BJ45" s="69">
        <v>238.83149999999998</v>
      </c>
      <c r="BK45" s="69">
        <v>232.4057</v>
      </c>
      <c r="BL45" s="69">
        <v>211.31270000000001</v>
      </c>
      <c r="BM45" s="69">
        <v>170.39939999999999</v>
      </c>
      <c r="BN45" s="69">
        <v>143.64599999999999</v>
      </c>
      <c r="BO45" s="69">
        <v>164.11599999999999</v>
      </c>
      <c r="BP45" s="69">
        <v>202.01220000000001</v>
      </c>
      <c r="BQ45" s="69">
        <v>253.89029999999997</v>
      </c>
      <c r="BR45" s="69">
        <v>266.822</v>
      </c>
      <c r="BS45" s="55">
        <f t="shared" si="68"/>
        <v>2522.7139000000002</v>
      </c>
      <c r="BT45" s="68">
        <v>298.94209999999998</v>
      </c>
      <c r="BU45" s="68">
        <v>313.9742</v>
      </c>
      <c r="BV45" s="68">
        <v>291.06560000000002</v>
      </c>
      <c r="BW45" s="68">
        <v>229.21949999999998</v>
      </c>
      <c r="BX45" s="68">
        <v>218.8065</v>
      </c>
      <c r="BY45" s="68">
        <v>247.38439999999997</v>
      </c>
      <c r="BZ45" s="68">
        <v>247.38439999999997</v>
      </c>
      <c r="CA45" s="68">
        <v>98.380600000000001</v>
      </c>
      <c r="CB45" s="68">
        <v>156.23060000000001</v>
      </c>
      <c r="CC45" s="68">
        <v>194.6875</v>
      </c>
      <c r="CD45" s="68">
        <v>230.3587</v>
      </c>
      <c r="CE45" s="68">
        <v>266.75970000000001</v>
      </c>
      <c r="CF45" s="54">
        <f t="shared" si="69"/>
        <v>2793.1937999999996</v>
      </c>
      <c r="CG45" s="67">
        <v>0</v>
      </c>
      <c r="CH45" s="67">
        <v>0</v>
      </c>
      <c r="CI45" s="67">
        <v>0</v>
      </c>
      <c r="CJ45" s="67">
        <v>0</v>
      </c>
      <c r="CK45" s="67">
        <v>0</v>
      </c>
      <c r="CL45" s="67">
        <v>0</v>
      </c>
      <c r="CM45" s="67">
        <v>0</v>
      </c>
      <c r="CN45" s="67">
        <v>0</v>
      </c>
      <c r="CO45" s="67">
        <v>0</v>
      </c>
      <c r="CP45" s="67">
        <v>0</v>
      </c>
      <c r="CQ45" s="67">
        <v>0</v>
      </c>
      <c r="CR45" s="67">
        <v>0</v>
      </c>
      <c r="CS45" s="54">
        <f t="shared" si="70"/>
        <v>0</v>
      </c>
    </row>
    <row r="46" spans="1:97" x14ac:dyDescent="0.15">
      <c r="B46" s="22" t="s">
        <v>24</v>
      </c>
      <c r="D46" s="25"/>
      <c r="E46" s="47"/>
      <c r="F46" s="66">
        <v>352</v>
      </c>
      <c r="G46" s="36">
        <v>47.588099999999997</v>
      </c>
      <c r="H46" s="36">
        <v>43.161299999999997</v>
      </c>
      <c r="I46" s="36">
        <v>39.656750000000002</v>
      </c>
      <c r="J46" s="36">
        <v>27.206375000000001</v>
      </c>
      <c r="K46" s="36">
        <v>19.754594999999998</v>
      </c>
      <c r="L46" s="36">
        <v>13.09595</v>
      </c>
      <c r="M46" s="36">
        <v>11.62035</v>
      </c>
      <c r="N46" s="36">
        <v>13.372624999999999</v>
      </c>
      <c r="O46" s="36">
        <v>17.799424999999999</v>
      </c>
      <c r="P46" s="36">
        <v>30.065349999999999</v>
      </c>
      <c r="Q46" s="36">
        <v>48.694800000000001</v>
      </c>
      <c r="R46" s="36">
        <v>43.161299999999997</v>
      </c>
      <c r="S46" s="47">
        <f t="shared" si="64"/>
        <v>355.17692</v>
      </c>
      <c r="T46" s="36">
        <v>59.854025</v>
      </c>
      <c r="U46" s="36">
        <v>37.535575000000001</v>
      </c>
      <c r="V46" s="36">
        <v>37.996699999999997</v>
      </c>
      <c r="W46" s="36">
        <v>38.918950000000002</v>
      </c>
      <c r="X46" s="36">
        <v>22.410675000000001</v>
      </c>
      <c r="Y46" s="36">
        <v>15.4938</v>
      </c>
      <c r="Z46" s="36">
        <v>9.1302749999999993</v>
      </c>
      <c r="AA46" s="36">
        <v>8.4847000000000001</v>
      </c>
      <c r="AB46" s="36">
        <v>17.614975000000001</v>
      </c>
      <c r="AC46" s="36">
        <v>47.957000000000001</v>
      </c>
      <c r="AD46" s="36">
        <v>49.432600000000001</v>
      </c>
      <c r="AE46" s="36">
        <v>48.602575000000002</v>
      </c>
      <c r="AF46" s="47">
        <f t="shared" si="65"/>
        <v>393.43185</v>
      </c>
      <c r="AG46" s="36">
        <v>54.412750000000003</v>
      </c>
      <c r="AH46" s="36">
        <v>54.873874999999998</v>
      </c>
      <c r="AI46" s="36">
        <v>42.515725000000003</v>
      </c>
      <c r="AJ46" s="36">
        <v>38.918950000000002</v>
      </c>
      <c r="AK46" s="36">
        <v>17.430524999999999</v>
      </c>
      <c r="AL46" s="36">
        <v>19.5517</v>
      </c>
      <c r="AM46" s="36">
        <v>7.5624500000000001</v>
      </c>
      <c r="AN46" s="36">
        <v>7.1935500000000001</v>
      </c>
      <c r="AO46" s="36">
        <v>10.6981</v>
      </c>
      <c r="AP46" s="36">
        <v>40.947899999999997</v>
      </c>
      <c r="AQ46" s="36">
        <v>50.815975000000002</v>
      </c>
      <c r="AR46" s="36">
        <v>75.808949999999996</v>
      </c>
      <c r="AS46" s="47">
        <f t="shared" si="66"/>
        <v>420.73044999999996</v>
      </c>
      <c r="AT46" s="26">
        <v>54.689425</v>
      </c>
      <c r="AU46" s="26">
        <v>45.098025</v>
      </c>
      <c r="AV46" s="26">
        <v>51.738225</v>
      </c>
      <c r="AW46" s="26">
        <v>36.89</v>
      </c>
      <c r="AX46" s="26">
        <v>25.823</v>
      </c>
      <c r="AY46" s="26">
        <v>9.9603000000000002</v>
      </c>
      <c r="AZ46" s="26">
        <v>7.0091000000000001</v>
      </c>
      <c r="BA46" s="26">
        <v>7.1935500000000001</v>
      </c>
      <c r="BB46" s="26">
        <v>7.0091000000000001</v>
      </c>
      <c r="BC46" s="26">
        <v>32.739874999999998</v>
      </c>
      <c r="BD46" s="26">
        <v>35.691074999999998</v>
      </c>
      <c r="BE46" s="26">
        <v>49.617049999999999</v>
      </c>
      <c r="BF46" s="56">
        <f t="shared" si="67"/>
        <v>363.45872500000002</v>
      </c>
      <c r="BG46" s="26">
        <v>37.558</v>
      </c>
      <c r="BH46" s="26">
        <v>41.117999999999995</v>
      </c>
      <c r="BI46" s="26">
        <v>44.055</v>
      </c>
      <c r="BJ46" s="26">
        <v>38.536999999999999</v>
      </c>
      <c r="BK46" s="26">
        <v>30.349</v>
      </c>
      <c r="BL46" s="26">
        <v>23.940999999999999</v>
      </c>
      <c r="BM46" s="26">
        <v>17.710999999999999</v>
      </c>
      <c r="BN46" s="26">
        <v>7.476</v>
      </c>
      <c r="BO46" s="26">
        <v>13.795</v>
      </c>
      <c r="BP46" s="26">
        <v>26.966999999999999</v>
      </c>
      <c r="BQ46" s="26">
        <v>42.808999999999997</v>
      </c>
      <c r="BR46" s="26">
        <v>46.101999999999997</v>
      </c>
      <c r="BS46" s="55">
        <f t="shared" si="68"/>
        <v>370.41800000000001</v>
      </c>
      <c r="BT46" s="39">
        <v>46.369</v>
      </c>
      <c r="BU46" s="39">
        <v>43.966000000000001</v>
      </c>
      <c r="BV46" s="39">
        <v>42.186</v>
      </c>
      <c r="BW46" s="39">
        <v>38.358999999999995</v>
      </c>
      <c r="BX46" s="39">
        <v>32.751999999999995</v>
      </c>
      <c r="BY46" s="39">
        <v>21.093</v>
      </c>
      <c r="BZ46" s="39">
        <v>17.177</v>
      </c>
      <c r="CA46" s="39">
        <v>16.553999999999998</v>
      </c>
      <c r="CB46" s="39">
        <v>16.198</v>
      </c>
      <c r="CC46" s="39">
        <v>31.506</v>
      </c>
      <c r="CD46" s="39">
        <v>42.007999999999996</v>
      </c>
      <c r="CE46" s="39">
        <v>46.190999999999995</v>
      </c>
      <c r="CF46" s="54">
        <f t="shared" si="69"/>
        <v>394.35899999999992</v>
      </c>
      <c r="CG46" s="38">
        <v>0</v>
      </c>
      <c r="CH46" s="38">
        <v>0</v>
      </c>
      <c r="CI46" s="38">
        <v>0</v>
      </c>
      <c r="CJ46" s="38">
        <v>0</v>
      </c>
      <c r="CK46" s="38">
        <v>0</v>
      </c>
      <c r="CL46" s="38">
        <v>0</v>
      </c>
      <c r="CM46" s="38">
        <v>0</v>
      </c>
      <c r="CN46" s="38">
        <v>0</v>
      </c>
      <c r="CO46" s="38">
        <v>0</v>
      </c>
      <c r="CP46" s="38">
        <v>0</v>
      </c>
      <c r="CQ46" s="38">
        <v>0</v>
      </c>
      <c r="CR46" s="38">
        <v>0</v>
      </c>
      <c r="CS46" s="54">
        <f t="shared" si="70"/>
        <v>0</v>
      </c>
    </row>
    <row r="47" spans="1:97" x14ac:dyDescent="0.15">
      <c r="B47" s="22" t="s">
        <v>25</v>
      </c>
      <c r="D47" s="25"/>
      <c r="E47" s="47"/>
      <c r="F47" s="66">
        <v>440</v>
      </c>
      <c r="G47" s="36">
        <v>57.271725000000004</v>
      </c>
      <c r="H47" s="36">
        <v>54.689425</v>
      </c>
      <c r="I47" s="36">
        <v>55.980575000000002</v>
      </c>
      <c r="J47" s="36">
        <v>43.069074999999998</v>
      </c>
      <c r="K47" s="36">
        <v>40.394550000000002</v>
      </c>
      <c r="L47" s="36">
        <v>36.428874999999998</v>
      </c>
      <c r="M47" s="36">
        <v>27.483049999999999</v>
      </c>
      <c r="N47" s="36">
        <v>15.586024999999999</v>
      </c>
      <c r="O47" s="36">
        <v>16.047149999999998</v>
      </c>
      <c r="P47" s="36">
        <v>24.255175000000001</v>
      </c>
      <c r="Q47" s="36">
        <v>49.524825</v>
      </c>
      <c r="R47" s="36">
        <v>49.617049999999999</v>
      </c>
      <c r="S47" s="47">
        <f t="shared" si="64"/>
        <v>470.34750000000003</v>
      </c>
      <c r="T47" s="36">
        <v>69.168750000000003</v>
      </c>
      <c r="U47" s="36">
        <v>87.429299999999998</v>
      </c>
      <c r="V47" s="36">
        <v>97.297375000000002</v>
      </c>
      <c r="W47" s="36">
        <v>76.085624999999993</v>
      </c>
      <c r="X47" s="36">
        <v>39.195625</v>
      </c>
      <c r="Y47" s="36">
        <v>9.3147249999999993</v>
      </c>
      <c r="Z47" s="36">
        <v>7.0091000000000001</v>
      </c>
      <c r="AA47" s="36">
        <v>11.4359</v>
      </c>
      <c r="AB47" s="36">
        <v>8.3002500000000001</v>
      </c>
      <c r="AC47" s="36">
        <v>17.614975000000001</v>
      </c>
      <c r="AD47" s="36">
        <v>32.002074999999998</v>
      </c>
      <c r="AE47" s="36">
        <v>59.392899999999997</v>
      </c>
      <c r="AF47" s="47">
        <f t="shared" si="65"/>
        <v>514.24659999999994</v>
      </c>
      <c r="AG47" s="36">
        <v>54.228299999999997</v>
      </c>
      <c r="AH47" s="36">
        <v>57.271725000000004</v>
      </c>
      <c r="AI47" s="36">
        <v>96.006225000000001</v>
      </c>
      <c r="AJ47" s="36">
        <v>36.244425</v>
      </c>
      <c r="AK47" s="36">
        <v>22.318449999999999</v>
      </c>
      <c r="AL47" s="36">
        <v>20.6584</v>
      </c>
      <c r="AM47" s="36">
        <v>18.906124999999999</v>
      </c>
      <c r="AN47" s="36">
        <v>18.168324999999999</v>
      </c>
      <c r="AO47" s="36">
        <v>18.721675000000001</v>
      </c>
      <c r="AP47" s="36">
        <v>16.692724999999999</v>
      </c>
      <c r="AQ47" s="36">
        <v>26.9297</v>
      </c>
      <c r="AR47" s="36">
        <v>91.394975000000002</v>
      </c>
      <c r="AS47" s="47">
        <f t="shared" si="66"/>
        <v>477.54104999999998</v>
      </c>
      <c r="AT47" s="26">
        <v>38.273375000000001</v>
      </c>
      <c r="AU47" s="26">
        <v>30.2498</v>
      </c>
      <c r="AV47" s="26">
        <v>38.181150000000002</v>
      </c>
      <c r="AW47" s="26">
        <v>26.376349999999999</v>
      </c>
      <c r="AX47" s="26">
        <v>24.162949999999999</v>
      </c>
      <c r="AY47" s="26">
        <v>24.162949999999999</v>
      </c>
      <c r="AZ47" s="26">
        <v>24.900749999999999</v>
      </c>
      <c r="BA47" s="26">
        <v>23.148475000000001</v>
      </c>
      <c r="BB47" s="26">
        <v>20.2895</v>
      </c>
      <c r="BC47" s="26">
        <v>24.439624999999999</v>
      </c>
      <c r="BD47" s="26">
        <v>31.264275000000001</v>
      </c>
      <c r="BE47" s="26">
        <v>47.864775000000002</v>
      </c>
      <c r="BF47" s="56">
        <f t="shared" si="67"/>
        <v>353.31397499999997</v>
      </c>
      <c r="BG47" s="26">
        <v>23.495999999999999</v>
      </c>
      <c r="BH47" s="26">
        <v>32.93</v>
      </c>
      <c r="BI47" s="26">
        <v>39.338000000000001</v>
      </c>
      <c r="BJ47" s="26">
        <v>35.689</v>
      </c>
      <c r="BK47" s="26">
        <v>25.186999999999998</v>
      </c>
      <c r="BL47" s="26">
        <v>25.542999999999999</v>
      </c>
      <c r="BM47" s="26">
        <v>24.029999999999998</v>
      </c>
      <c r="BN47" s="26">
        <v>18.689999999999998</v>
      </c>
      <c r="BO47" s="26">
        <v>12.282</v>
      </c>
      <c r="BP47" s="26">
        <v>11.125</v>
      </c>
      <c r="BQ47" s="26">
        <v>41.562999999999995</v>
      </c>
      <c r="BR47" s="26">
        <v>35.955999999999996</v>
      </c>
      <c r="BS47" s="55">
        <f t="shared" si="68"/>
        <v>325.82900000000001</v>
      </c>
      <c r="BT47" s="39">
        <v>43.966000000000001</v>
      </c>
      <c r="BU47" s="39">
        <v>46.635999999999996</v>
      </c>
      <c r="BV47" s="39">
        <v>41.384999999999998</v>
      </c>
      <c r="BW47" s="39">
        <v>32.573999999999998</v>
      </c>
      <c r="BX47" s="39">
        <v>17.355</v>
      </c>
      <c r="BY47" s="39">
        <v>9.3449999999999989</v>
      </c>
      <c r="BZ47" s="39">
        <v>7.476</v>
      </c>
      <c r="CA47" s="39">
        <v>16.91</v>
      </c>
      <c r="CB47" s="39">
        <v>7.476</v>
      </c>
      <c r="CC47" s="39">
        <v>16.820999999999998</v>
      </c>
      <c r="CD47" s="39">
        <v>30.259999999999998</v>
      </c>
      <c r="CE47" s="39">
        <v>40.672999999999995</v>
      </c>
      <c r="CF47" s="54">
        <f t="shared" si="69"/>
        <v>310.87699999999995</v>
      </c>
      <c r="CG47" s="38">
        <v>0</v>
      </c>
      <c r="CH47" s="38">
        <v>0</v>
      </c>
      <c r="CI47" s="38">
        <v>0</v>
      </c>
      <c r="CJ47" s="38">
        <v>0</v>
      </c>
      <c r="CK47" s="38">
        <v>0</v>
      </c>
      <c r="CL47" s="38">
        <v>0</v>
      </c>
      <c r="CM47" s="38">
        <v>0</v>
      </c>
      <c r="CN47" s="38">
        <v>0</v>
      </c>
      <c r="CO47" s="38">
        <v>0</v>
      </c>
      <c r="CP47" s="38">
        <v>0</v>
      </c>
      <c r="CQ47" s="38">
        <v>0</v>
      </c>
      <c r="CR47" s="38">
        <v>0</v>
      </c>
      <c r="CS47" s="54">
        <f t="shared" si="70"/>
        <v>0</v>
      </c>
    </row>
    <row r="48" spans="1:97" x14ac:dyDescent="0.15">
      <c r="B48" s="22" t="s">
        <v>26</v>
      </c>
      <c r="D48" s="25"/>
      <c r="E48" s="47"/>
      <c r="F48" s="66">
        <v>1025</v>
      </c>
      <c r="G48" s="36">
        <v>134.371825</v>
      </c>
      <c r="H48" s="36">
        <v>130.77504999999999</v>
      </c>
      <c r="I48" s="36">
        <v>124.411525</v>
      </c>
      <c r="J48" s="36">
        <v>70.183224999999993</v>
      </c>
      <c r="K48" s="36">
        <v>52.107125000000003</v>
      </c>
      <c r="L48" s="36">
        <v>37.166674999999998</v>
      </c>
      <c r="M48" s="36">
        <v>29.512</v>
      </c>
      <c r="N48" s="36">
        <v>36.244425</v>
      </c>
      <c r="O48" s="36">
        <v>36.336649999999999</v>
      </c>
      <c r="P48" s="36">
        <v>64.557500000000005</v>
      </c>
      <c r="Q48" s="36">
        <v>139.0753</v>
      </c>
      <c r="R48" s="36">
        <v>131.51284999999999</v>
      </c>
      <c r="S48" s="47">
        <f t="shared" si="64"/>
        <v>986.25414999999987</v>
      </c>
      <c r="T48" s="36">
        <v>189.98349999999999</v>
      </c>
      <c r="U48" s="36">
        <v>119.984725</v>
      </c>
      <c r="V48" s="36">
        <v>113.43675</v>
      </c>
      <c r="W48" s="36">
        <v>90.472724999999997</v>
      </c>
      <c r="X48" s="36">
        <v>58.101750000000003</v>
      </c>
      <c r="Y48" s="36">
        <v>39.841200000000001</v>
      </c>
      <c r="Z48" s="36">
        <v>30.342025</v>
      </c>
      <c r="AA48" s="36">
        <v>35.506625</v>
      </c>
      <c r="AB48" s="36">
        <v>40.855674999999998</v>
      </c>
      <c r="AC48" s="36">
        <v>79.959074999999999</v>
      </c>
      <c r="AD48" s="36">
        <v>106.42765</v>
      </c>
      <c r="AE48" s="36">
        <v>137.507475</v>
      </c>
      <c r="AF48" s="47">
        <f t="shared" si="65"/>
        <v>1042.419175</v>
      </c>
      <c r="AG48" s="36">
        <v>163.0538</v>
      </c>
      <c r="AH48" s="36">
        <v>125.426</v>
      </c>
      <c r="AI48" s="36">
        <v>118.140225</v>
      </c>
      <c r="AJ48" s="36">
        <v>55.703899999999997</v>
      </c>
      <c r="AK48" s="36">
        <v>32.002074999999998</v>
      </c>
      <c r="AL48" s="36">
        <v>29.050875000000001</v>
      </c>
      <c r="AM48" s="36">
        <v>15.1249</v>
      </c>
      <c r="AN48" s="36">
        <v>17.614975000000001</v>
      </c>
      <c r="AO48" s="36">
        <v>22.318449999999999</v>
      </c>
      <c r="AP48" s="36">
        <v>45.190249999999999</v>
      </c>
      <c r="AQ48" s="36">
        <v>55.427225</v>
      </c>
      <c r="AR48" s="36">
        <v>124.595975</v>
      </c>
      <c r="AS48" s="47">
        <f t="shared" si="66"/>
        <v>803.64864999999986</v>
      </c>
      <c r="AT48" s="26">
        <v>152.72460000000001</v>
      </c>
      <c r="AU48" s="26">
        <v>72.581074999999998</v>
      </c>
      <c r="AV48" s="26">
        <v>96.282899999999998</v>
      </c>
      <c r="AW48" s="26">
        <v>53.398274999999998</v>
      </c>
      <c r="AX48" s="26">
        <v>34.768825</v>
      </c>
      <c r="AY48" s="26">
        <v>30.342025</v>
      </c>
      <c r="AZ48" s="26">
        <v>28.681975000000001</v>
      </c>
      <c r="BA48" s="26">
        <v>33.108775000000001</v>
      </c>
      <c r="BB48" s="26">
        <v>39.287849999999999</v>
      </c>
      <c r="BC48" s="26">
        <v>89.919375000000002</v>
      </c>
      <c r="BD48" s="26">
        <v>132.71177499999999</v>
      </c>
      <c r="BE48" s="26">
        <v>123.48927500000001</v>
      </c>
      <c r="BF48" s="56">
        <f t="shared" si="67"/>
        <v>887.29672500000004</v>
      </c>
      <c r="BG48" s="26">
        <v>104.30799999999999</v>
      </c>
      <c r="BH48" s="26">
        <v>57.939</v>
      </c>
      <c r="BI48" s="26">
        <v>74.938000000000002</v>
      </c>
      <c r="BJ48" s="26">
        <v>46.546999999999997</v>
      </c>
      <c r="BK48" s="26">
        <v>32.93</v>
      </c>
      <c r="BL48" s="26">
        <v>31.416999999999998</v>
      </c>
      <c r="BM48" s="26">
        <v>24.919999999999998</v>
      </c>
      <c r="BN48" s="26">
        <v>29.459</v>
      </c>
      <c r="BO48" s="26">
        <v>40.672999999999995</v>
      </c>
      <c r="BP48" s="26">
        <v>68.619</v>
      </c>
      <c r="BQ48" s="26">
        <v>178.178</v>
      </c>
      <c r="BR48" s="26">
        <v>167.58699999999999</v>
      </c>
      <c r="BS48" s="55">
        <f t="shared" si="68"/>
        <v>857.51499999999999</v>
      </c>
      <c r="BT48" s="39">
        <v>187.70099999999999</v>
      </c>
      <c r="BU48" s="39">
        <v>177.37699999999998</v>
      </c>
      <c r="BV48" s="39">
        <v>149.51999999999998</v>
      </c>
      <c r="BW48" s="39">
        <v>128.60499999999999</v>
      </c>
      <c r="BX48" s="39">
        <v>79.298999999999992</v>
      </c>
      <c r="BY48" s="39">
        <v>49.305999999999997</v>
      </c>
      <c r="BZ48" s="39">
        <v>42.541999999999994</v>
      </c>
      <c r="CA48" s="39">
        <v>35.244</v>
      </c>
      <c r="CB48" s="39">
        <v>36.045000000000002</v>
      </c>
      <c r="CC48" s="39">
        <v>78.408999999999992</v>
      </c>
      <c r="CD48" s="39">
        <v>136.61499999999998</v>
      </c>
      <c r="CE48" s="39">
        <v>142.4</v>
      </c>
      <c r="CF48" s="54">
        <f t="shared" si="69"/>
        <v>1243.0630000000001</v>
      </c>
      <c r="CG48" s="38">
        <v>0</v>
      </c>
      <c r="CH48" s="38">
        <v>0</v>
      </c>
      <c r="CI48" s="38">
        <v>0</v>
      </c>
      <c r="CJ48" s="38">
        <v>0</v>
      </c>
      <c r="CK48" s="38">
        <v>0</v>
      </c>
      <c r="CL48" s="38">
        <v>0</v>
      </c>
      <c r="CM48" s="38">
        <v>0</v>
      </c>
      <c r="CN48" s="38">
        <v>0</v>
      </c>
      <c r="CO48" s="38">
        <v>0</v>
      </c>
      <c r="CP48" s="38">
        <v>0</v>
      </c>
      <c r="CQ48" s="38">
        <v>0</v>
      </c>
      <c r="CR48" s="38">
        <v>0</v>
      </c>
      <c r="CS48" s="54">
        <f t="shared" si="70"/>
        <v>0</v>
      </c>
    </row>
    <row r="49" spans="1:97" x14ac:dyDescent="0.15">
      <c r="B49" s="22" t="s">
        <v>15</v>
      </c>
      <c r="D49" s="25"/>
      <c r="E49" s="47">
        <f t="shared" ref="E49:R49" si="77">SUM(E42:E44)</f>
        <v>24529</v>
      </c>
      <c r="F49" s="47">
        <f t="shared" si="77"/>
        <v>4673</v>
      </c>
      <c r="G49" s="36">
        <f t="shared" si="77"/>
        <v>528.4215825</v>
      </c>
      <c r="H49" s="36">
        <f t="shared" si="77"/>
        <v>575.36410749999993</v>
      </c>
      <c r="I49" s="36">
        <f t="shared" si="77"/>
        <v>710.21550250000007</v>
      </c>
      <c r="J49" s="36">
        <f t="shared" si="77"/>
        <v>653.6815775</v>
      </c>
      <c r="K49" s="36">
        <f t="shared" si="77"/>
        <v>356.56951749999996</v>
      </c>
      <c r="L49" s="36">
        <f t="shared" si="77"/>
        <v>280.84357</v>
      </c>
      <c r="M49" s="36">
        <f t="shared" si="77"/>
        <v>219.72606249999998</v>
      </c>
      <c r="N49" s="36">
        <f t="shared" si="77"/>
        <v>231.00518000000002</v>
      </c>
      <c r="O49" s="36">
        <f t="shared" si="77"/>
        <v>243.70456249999998</v>
      </c>
      <c r="P49" s="36">
        <f t="shared" si="77"/>
        <v>346.00975500000004</v>
      </c>
      <c r="Q49" s="36">
        <f t="shared" si="77"/>
        <v>492.69361750000007</v>
      </c>
      <c r="R49" s="36">
        <f t="shared" si="77"/>
        <v>528.76281500000005</v>
      </c>
      <c r="S49" s="47">
        <f t="shared" si="64"/>
        <v>5166.9978500000007</v>
      </c>
      <c r="T49" s="36">
        <f t="shared" ref="T49:AE49" si="78">SUM(T42:T44)</f>
        <v>709.59759499999996</v>
      </c>
      <c r="U49" s="36">
        <f t="shared" si="78"/>
        <v>759.59276750000004</v>
      </c>
      <c r="V49" s="36">
        <f t="shared" si="78"/>
        <v>559.28006749999997</v>
      </c>
      <c r="W49" s="36">
        <f t="shared" si="78"/>
        <v>438.26242249999996</v>
      </c>
      <c r="X49" s="36">
        <f t="shared" si="78"/>
        <v>351.37724999999995</v>
      </c>
      <c r="Y49" s="36">
        <f t="shared" si="78"/>
        <v>282.24538999999999</v>
      </c>
      <c r="Z49" s="36">
        <f t="shared" si="78"/>
        <v>274.52615750000001</v>
      </c>
      <c r="AA49" s="36">
        <f t="shared" si="78"/>
        <v>255.20502000000005</v>
      </c>
      <c r="AB49" s="36">
        <f t="shared" si="78"/>
        <v>210.35600250000002</v>
      </c>
      <c r="AC49" s="36">
        <f t="shared" si="78"/>
        <v>345.45640499999996</v>
      </c>
      <c r="AD49" s="36">
        <f t="shared" si="78"/>
        <v>410.41969500000005</v>
      </c>
      <c r="AE49" s="36">
        <f t="shared" si="78"/>
        <v>496.58551249999999</v>
      </c>
      <c r="AF49" s="47">
        <f t="shared" si="65"/>
        <v>5092.9042850000005</v>
      </c>
      <c r="AG49" s="36">
        <f t="shared" ref="AG49:AR49" si="79">SUM(AG42:AG44)</f>
        <v>507.7262925</v>
      </c>
      <c r="AH49" s="36">
        <f t="shared" si="79"/>
        <v>442.09898250000003</v>
      </c>
      <c r="AI49" s="36">
        <f t="shared" si="79"/>
        <v>473.05891499999996</v>
      </c>
      <c r="AJ49" s="36">
        <f t="shared" si="79"/>
        <v>433.94629249999997</v>
      </c>
      <c r="AK49" s="36">
        <f t="shared" si="79"/>
        <v>323.49763250000001</v>
      </c>
      <c r="AL49" s="36">
        <f t="shared" si="79"/>
        <v>232.6744525</v>
      </c>
      <c r="AM49" s="36">
        <f t="shared" si="79"/>
        <v>138.90929500000001</v>
      </c>
      <c r="AN49" s="36">
        <f t="shared" si="79"/>
        <v>169.25132000000002</v>
      </c>
      <c r="AO49" s="36">
        <f t="shared" si="79"/>
        <v>165.89432999999997</v>
      </c>
      <c r="AP49" s="36">
        <f t="shared" si="79"/>
        <v>221.00799000000001</v>
      </c>
      <c r="AQ49" s="36">
        <f t="shared" si="79"/>
        <v>268.84509750000001</v>
      </c>
      <c r="AR49" s="36">
        <f t="shared" si="79"/>
        <v>511.03717</v>
      </c>
      <c r="AS49" s="47">
        <f t="shared" si="66"/>
        <v>3887.9477700000002</v>
      </c>
      <c r="AT49" s="26">
        <f t="shared" ref="AT49:BE49" si="80">SUM(AT42:AT44)</f>
        <v>442.81833749999998</v>
      </c>
      <c r="AU49" s="26">
        <f t="shared" si="80"/>
        <v>317.50300750000002</v>
      </c>
      <c r="AV49" s="26">
        <f t="shared" si="80"/>
        <v>372.86567499999995</v>
      </c>
      <c r="AW49" s="26">
        <f t="shared" si="80"/>
        <v>266.83459250000004</v>
      </c>
      <c r="AX49" s="26">
        <f t="shared" si="80"/>
        <v>226.10803250000004</v>
      </c>
      <c r="AY49" s="26">
        <f t="shared" si="80"/>
        <v>154.53221000000002</v>
      </c>
      <c r="AZ49" s="26">
        <f t="shared" si="80"/>
        <v>217.27287749999996</v>
      </c>
      <c r="BA49" s="26">
        <f t="shared" si="80"/>
        <v>233.79037499999998</v>
      </c>
      <c r="BB49" s="26">
        <f t="shared" si="80"/>
        <v>238.73363499999999</v>
      </c>
      <c r="BC49" s="26">
        <f t="shared" si="80"/>
        <v>367.12927999999999</v>
      </c>
      <c r="BD49" s="26">
        <f t="shared" si="80"/>
        <v>437.89352249999996</v>
      </c>
      <c r="BE49" s="26">
        <f t="shared" si="80"/>
        <v>544.45028750000006</v>
      </c>
      <c r="BF49" s="56">
        <f t="shared" si="67"/>
        <v>3819.9318325000004</v>
      </c>
      <c r="BG49" s="26">
        <f t="shared" ref="BG49:BR49" si="81">SUM(BG42:BG44)</f>
        <v>411.21559999999999</v>
      </c>
      <c r="BH49" s="26">
        <f t="shared" si="81"/>
        <v>313.6182</v>
      </c>
      <c r="BI49" s="26">
        <f t="shared" si="81"/>
        <v>370.12430000000001</v>
      </c>
      <c r="BJ49" s="26">
        <f t="shared" si="81"/>
        <v>359.60450000000003</v>
      </c>
      <c r="BK49" s="26">
        <f t="shared" si="81"/>
        <v>320.87170000000003</v>
      </c>
      <c r="BL49" s="26">
        <f t="shared" si="81"/>
        <v>292.21369999999996</v>
      </c>
      <c r="BM49" s="26">
        <f t="shared" si="81"/>
        <v>237.06039999999996</v>
      </c>
      <c r="BN49" s="26">
        <f t="shared" si="81"/>
        <v>199.27099999999999</v>
      </c>
      <c r="BO49" s="26">
        <f t="shared" si="81"/>
        <v>230.86599999999999</v>
      </c>
      <c r="BP49" s="26">
        <f t="shared" si="81"/>
        <v>308.72320000000002</v>
      </c>
      <c r="BQ49" s="26">
        <f t="shared" si="81"/>
        <v>516.44029999999998</v>
      </c>
      <c r="BR49" s="26">
        <f t="shared" si="81"/>
        <v>516.46699999999998</v>
      </c>
      <c r="BS49" s="55">
        <f t="shared" si="68"/>
        <v>4076.4758999999999</v>
      </c>
      <c r="BT49" s="39">
        <v>576.97810000000004</v>
      </c>
      <c r="BU49" s="39">
        <v>581.95319999999992</v>
      </c>
      <c r="BV49" s="39">
        <v>524.15660000000003</v>
      </c>
      <c r="BW49" s="39">
        <v>428.75749999999994</v>
      </c>
      <c r="BX49" s="39">
        <v>348.21249999999998</v>
      </c>
      <c r="BY49" s="39">
        <v>327.1284</v>
      </c>
      <c r="BZ49" s="39">
        <v>314.57939999999996</v>
      </c>
      <c r="CA49" s="39">
        <v>167.08860000000001</v>
      </c>
      <c r="CB49" s="39">
        <v>215.94960000000003</v>
      </c>
      <c r="CC49" s="39">
        <v>321.42349999999999</v>
      </c>
      <c r="CD49" s="39">
        <v>439.24169999999992</v>
      </c>
      <c r="CE49" s="39">
        <v>496.02369999999996</v>
      </c>
      <c r="CF49" s="54">
        <f t="shared" si="69"/>
        <v>4741.4928</v>
      </c>
      <c r="CG49" s="38">
        <f t="shared" ref="CG49:CR49" si="82">SUM(CG42:CG44)</f>
        <v>0</v>
      </c>
      <c r="CH49" s="38">
        <f t="shared" si="82"/>
        <v>0</v>
      </c>
      <c r="CI49" s="38">
        <f t="shared" si="82"/>
        <v>0</v>
      </c>
      <c r="CJ49" s="38">
        <f t="shared" si="82"/>
        <v>0</v>
      </c>
      <c r="CK49" s="38">
        <f t="shared" si="82"/>
        <v>0</v>
      </c>
      <c r="CL49" s="38">
        <f t="shared" si="82"/>
        <v>0</v>
      </c>
      <c r="CM49" s="38">
        <f t="shared" si="82"/>
        <v>0</v>
      </c>
      <c r="CN49" s="38">
        <f t="shared" si="82"/>
        <v>0</v>
      </c>
      <c r="CO49" s="38">
        <f t="shared" si="82"/>
        <v>0</v>
      </c>
      <c r="CP49" s="38">
        <f t="shared" si="82"/>
        <v>0</v>
      </c>
      <c r="CQ49" s="38">
        <f t="shared" si="82"/>
        <v>0</v>
      </c>
      <c r="CR49" s="38">
        <f t="shared" si="82"/>
        <v>0</v>
      </c>
      <c r="CS49" s="54">
        <f t="shared" si="70"/>
        <v>0</v>
      </c>
    </row>
    <row r="50" spans="1:97" x14ac:dyDescent="0.15">
      <c r="D50" s="25"/>
      <c r="E50" s="47"/>
      <c r="F50" s="47"/>
      <c r="G50" s="36"/>
      <c r="H50" s="35"/>
      <c r="I50" s="35"/>
      <c r="J50" s="35"/>
      <c r="K50" s="35"/>
      <c r="L50" s="35"/>
      <c r="M50" s="35"/>
      <c r="N50" s="35"/>
      <c r="O50" s="35"/>
      <c r="P50" s="35"/>
      <c r="Q50" s="35"/>
      <c r="R50" s="36"/>
      <c r="S50" s="36"/>
      <c r="T50" s="36"/>
      <c r="U50" s="36"/>
      <c r="V50" s="36"/>
      <c r="W50" s="36"/>
      <c r="X50" s="36"/>
      <c r="Y50" s="36"/>
      <c r="Z50" s="36"/>
      <c r="AA50" s="36"/>
      <c r="AB50" s="36"/>
      <c r="AC50" s="36"/>
      <c r="AD50" s="36"/>
      <c r="AE50" s="36"/>
      <c r="AF50" s="36"/>
      <c r="AG50" s="36"/>
      <c r="AH50" s="32"/>
      <c r="AI50" s="32"/>
      <c r="AJ50" s="32"/>
      <c r="AK50" s="32"/>
      <c r="AL50" s="32"/>
      <c r="AM50" s="32"/>
      <c r="AN50" s="32"/>
      <c r="AO50" s="32"/>
      <c r="AP50" s="32"/>
      <c r="AQ50" s="32"/>
      <c r="AR50" s="32"/>
      <c r="AS50" s="36"/>
      <c r="AT50" s="26"/>
      <c r="BF50" s="46"/>
      <c r="BG50" s="26"/>
      <c r="BS50" s="45"/>
      <c r="BT50" s="38"/>
      <c r="BU50" s="44"/>
      <c r="BV50" s="44"/>
      <c r="BW50" s="44"/>
      <c r="BX50" s="44"/>
      <c r="BY50" s="44"/>
      <c r="BZ50" s="44"/>
      <c r="CA50" s="44"/>
      <c r="CB50" s="44"/>
      <c r="CC50" s="44"/>
      <c r="CD50" s="44"/>
      <c r="CE50" s="44"/>
      <c r="CF50" s="26"/>
      <c r="CG50" s="38"/>
      <c r="CH50" s="44"/>
      <c r="CI50" s="44"/>
      <c r="CJ50" s="44"/>
      <c r="CK50" s="44"/>
      <c r="CL50" s="44"/>
      <c r="CM50" s="44"/>
      <c r="CN50" s="44"/>
      <c r="CO50" s="44"/>
      <c r="CP50" s="44"/>
      <c r="CQ50" s="44"/>
      <c r="CR50" s="44"/>
      <c r="CS50" s="26"/>
    </row>
    <row r="51" spans="1:97" x14ac:dyDescent="0.15">
      <c r="A51" s="22" t="s">
        <v>16</v>
      </c>
      <c r="D51" s="25">
        <v>16</v>
      </c>
      <c r="E51" s="47">
        <v>629</v>
      </c>
      <c r="F51" s="47">
        <v>343</v>
      </c>
      <c r="G51" s="52">
        <v>16.451809386899999</v>
      </c>
      <c r="H51" s="52">
        <v>15.030457504280001</v>
      </c>
      <c r="I51" s="52">
        <v>16.45926204953</v>
      </c>
      <c r="J51" s="52">
        <v>16.0245838027</v>
      </c>
      <c r="K51" s="52">
        <v>17.817775980370001</v>
      </c>
      <c r="L51" s="52">
        <v>19.299292823310001</v>
      </c>
      <c r="M51" s="52">
        <v>22.35921112338</v>
      </c>
      <c r="N51" s="52">
        <v>21.318103602180003</v>
      </c>
      <c r="O51" s="52">
        <v>19.040239176390003</v>
      </c>
      <c r="P51" s="52">
        <v>18.244593820110001</v>
      </c>
      <c r="Q51" s="52">
        <v>16.904904091840002</v>
      </c>
      <c r="R51" s="52">
        <v>17.074707006960001</v>
      </c>
      <c r="S51" s="47">
        <f>SUM(G51:R51)</f>
        <v>216.02494036794999</v>
      </c>
      <c r="T51" s="52">
        <v>20.03781717172</v>
      </c>
      <c r="U51" s="52">
        <v>17.9157665997</v>
      </c>
      <c r="V51" s="52">
        <v>19.487590453819998</v>
      </c>
      <c r="W51" s="52">
        <v>19.20558951432</v>
      </c>
      <c r="X51" s="52">
        <v>21.731668160489999</v>
      </c>
      <c r="Y51" s="52">
        <v>21.7998422125</v>
      </c>
      <c r="Z51" s="52">
        <v>26.393858439349998</v>
      </c>
      <c r="AA51" s="52">
        <v>25.448128652659999</v>
      </c>
      <c r="AB51" s="52">
        <v>22.427573704740002</v>
      </c>
      <c r="AC51" s="52">
        <v>20.372397641229998</v>
      </c>
      <c r="AD51" s="52">
        <v>18.769722624420002</v>
      </c>
      <c r="AE51" s="52">
        <v>19.364809583940001</v>
      </c>
      <c r="AF51" s="47">
        <f>SUM(T51:AE51)</f>
        <v>252.95476475889001</v>
      </c>
      <c r="AG51" s="52">
        <v>20.059207657729999</v>
      </c>
      <c r="AH51" s="52">
        <v>19.102977559559999</v>
      </c>
      <c r="AI51" s="52">
        <v>19.453464441509997</v>
      </c>
      <c r="AJ51" s="52">
        <v>19.400495048449997</v>
      </c>
      <c r="AK51" s="52">
        <v>22.624584499339999</v>
      </c>
      <c r="AL51" s="52">
        <v>22.74273899436</v>
      </c>
      <c r="AM51" s="52">
        <v>25.41584799212</v>
      </c>
      <c r="AN51" s="52">
        <v>26.761005468970001</v>
      </c>
      <c r="AO51" s="52">
        <v>23.35854067727</v>
      </c>
      <c r="AP51" s="52">
        <v>21.930186425549998</v>
      </c>
      <c r="AQ51" s="52">
        <v>20.867471732989998</v>
      </c>
      <c r="AR51" s="52">
        <v>21.155736472159997</v>
      </c>
      <c r="AS51" s="47">
        <f>SUM(AG51:AR51)</f>
        <v>262.87225697001003</v>
      </c>
      <c r="AT51" s="39">
        <v>30.45644548352</v>
      </c>
      <c r="AU51" s="39">
        <v>27.037216353280002</v>
      </c>
      <c r="AV51" s="39">
        <v>29.697547635839999</v>
      </c>
      <c r="AW51" s="39">
        <v>29.757166038319998</v>
      </c>
      <c r="AX51" s="39">
        <v>32.742383309440001</v>
      </c>
      <c r="AY51" s="39">
        <v>35.181285128639999</v>
      </c>
      <c r="AZ51" s="39">
        <v>40.584749024399997</v>
      </c>
      <c r="BA51" s="39">
        <v>38.227384669039999</v>
      </c>
      <c r="BB51" s="39">
        <v>34.592684304640002</v>
      </c>
      <c r="BC51" s="39">
        <v>32.389981135120003</v>
      </c>
      <c r="BD51" s="39">
        <v>29.56444440656</v>
      </c>
      <c r="BE51" s="39">
        <v>30.744029346240001</v>
      </c>
      <c r="BF51" s="56">
        <f>SUM(AT51:BE51)</f>
        <v>390.97531683504002</v>
      </c>
      <c r="BG51" s="39">
        <v>31.350685410240001</v>
      </c>
      <c r="BH51" s="39">
        <v>28.387134427120003</v>
      </c>
      <c r="BI51" s="39">
        <v>31.059996046240002</v>
      </c>
      <c r="BJ51" s="39">
        <v>30.59882910616</v>
      </c>
      <c r="BK51" s="39">
        <v>32.780010429599997</v>
      </c>
      <c r="BL51" s="39">
        <v>32.783007599439998</v>
      </c>
      <c r="BM51" s="39">
        <v>36.734794088720001</v>
      </c>
      <c r="BN51" s="39">
        <v>35.457024753920003</v>
      </c>
      <c r="BO51" s="39">
        <v>34.088509782880003</v>
      </c>
      <c r="BP51" s="39">
        <v>36.881510968960001</v>
      </c>
      <c r="BQ51" s="39">
        <v>34.807794434000002</v>
      </c>
      <c r="BR51" s="39">
        <v>34.115881526720003</v>
      </c>
      <c r="BS51" s="55">
        <f>SUM(BG51:BR51)</f>
        <v>399.04517857400003</v>
      </c>
      <c r="BT51" s="39">
        <v>46.181433116040004</v>
      </c>
      <c r="BU51" s="39">
        <v>37.323968361270005</v>
      </c>
      <c r="BV51" s="39">
        <v>40.934818296660005</v>
      </c>
      <c r="BW51" s="39">
        <v>41.295552812143711</v>
      </c>
      <c r="BX51" s="39">
        <v>43.416221447500007</v>
      </c>
      <c r="BY51" s="39">
        <v>42.982995384448806</v>
      </c>
      <c r="BZ51" s="39">
        <v>47.580706334710008</v>
      </c>
      <c r="CA51" s="39">
        <v>49.970093023123709</v>
      </c>
      <c r="CB51" s="39">
        <v>45.733728651740009</v>
      </c>
      <c r="CC51" s="39">
        <v>42.446075504267505</v>
      </c>
      <c r="CD51" s="39">
        <v>39.398039156690004</v>
      </c>
      <c r="CE51" s="39">
        <v>43.303198524934913</v>
      </c>
      <c r="CF51" s="54">
        <f>SUM(BT51:CE51)</f>
        <v>520.56683061352874</v>
      </c>
      <c r="CG51" s="38">
        <v>0</v>
      </c>
      <c r="CH51" s="38">
        <v>0</v>
      </c>
      <c r="CI51" s="38">
        <v>0</v>
      </c>
      <c r="CJ51" s="38">
        <v>0</v>
      </c>
      <c r="CK51" s="38">
        <v>0</v>
      </c>
      <c r="CL51" s="38">
        <v>0</v>
      </c>
      <c r="CM51" s="38">
        <v>0</v>
      </c>
      <c r="CN51" s="38">
        <v>0</v>
      </c>
      <c r="CO51" s="38">
        <v>0</v>
      </c>
      <c r="CP51" s="38">
        <v>0</v>
      </c>
      <c r="CQ51" s="38">
        <v>0</v>
      </c>
      <c r="CR51" s="38">
        <v>0</v>
      </c>
      <c r="CS51" s="54">
        <f>SUM(CG51:CR51)</f>
        <v>0</v>
      </c>
    </row>
    <row r="52" spans="1:97" x14ac:dyDescent="0.15">
      <c r="D52" s="25"/>
      <c r="E52" s="47"/>
      <c r="F52" s="47"/>
      <c r="G52" s="36"/>
      <c r="H52" s="35"/>
      <c r="I52" s="35"/>
      <c r="J52" s="35"/>
      <c r="K52" s="35"/>
      <c r="L52" s="35"/>
      <c r="M52" s="35"/>
      <c r="N52" s="35"/>
      <c r="O52" s="35"/>
      <c r="P52" s="35"/>
      <c r="Q52" s="35"/>
      <c r="R52" s="36"/>
      <c r="S52" s="36"/>
      <c r="T52" s="36"/>
      <c r="U52" s="36"/>
      <c r="V52" s="36"/>
      <c r="W52" s="36"/>
      <c r="X52" s="36"/>
      <c r="Y52" s="36"/>
      <c r="Z52" s="36"/>
      <c r="AA52" s="36"/>
      <c r="AB52" s="36"/>
      <c r="AC52" s="36"/>
      <c r="AD52" s="36"/>
      <c r="AE52" s="36"/>
      <c r="AF52" s="36"/>
      <c r="AG52" s="36"/>
      <c r="AH52" s="32"/>
      <c r="AI52" s="32"/>
      <c r="AJ52" s="32"/>
      <c r="AK52" s="32"/>
      <c r="AL52" s="32"/>
      <c r="AM52" s="32"/>
      <c r="AN52" s="32"/>
      <c r="AO52" s="32"/>
      <c r="AP52" s="32"/>
      <c r="AQ52" s="32"/>
      <c r="AR52" s="32"/>
      <c r="AS52" s="36"/>
      <c r="AT52" s="26"/>
      <c r="BF52" s="46"/>
      <c r="BG52" s="26"/>
      <c r="BS52" s="45"/>
      <c r="BT52" s="38"/>
      <c r="BU52" s="44"/>
      <c r="BV52" s="44"/>
      <c r="BW52" s="44"/>
      <c r="BX52" s="44"/>
      <c r="BY52" s="44"/>
      <c r="BZ52" s="44"/>
      <c r="CA52" s="44"/>
      <c r="CB52" s="44"/>
      <c r="CC52" s="44"/>
      <c r="CD52" s="44"/>
      <c r="CE52" s="44"/>
      <c r="CF52" s="26"/>
      <c r="CG52" s="38"/>
      <c r="CH52" s="44"/>
      <c r="CI52" s="44"/>
      <c r="CJ52" s="44"/>
      <c r="CK52" s="44"/>
      <c r="CL52" s="44"/>
      <c r="CM52" s="44"/>
      <c r="CN52" s="44"/>
      <c r="CO52" s="44"/>
      <c r="CP52" s="44"/>
      <c r="CQ52" s="44"/>
      <c r="CR52" s="44"/>
      <c r="CS52" s="26"/>
    </row>
    <row r="53" spans="1:97" x14ac:dyDescent="0.15">
      <c r="A53" s="22" t="s">
        <v>17</v>
      </c>
      <c r="D53" s="25">
        <v>16</v>
      </c>
      <c r="E53" s="47">
        <v>664</v>
      </c>
      <c r="F53" s="47">
        <v>2731</v>
      </c>
      <c r="G53" s="36">
        <v>163.36313271956999</v>
      </c>
      <c r="H53" s="36">
        <v>143.40645240110001</v>
      </c>
      <c r="I53" s="36">
        <v>91.423588614494491</v>
      </c>
      <c r="J53" s="36">
        <v>453.44516172251792</v>
      </c>
      <c r="K53" s="36">
        <v>226.41224168324999</v>
      </c>
      <c r="L53" s="36">
        <v>116.96465994467799</v>
      </c>
      <c r="M53" s="36">
        <v>356.84521543444549</v>
      </c>
      <c r="N53" s="36">
        <v>439.11353543014997</v>
      </c>
      <c r="O53" s="36">
        <v>119.6319693110605</v>
      </c>
      <c r="P53" s="36">
        <v>283.2576807710895</v>
      </c>
      <c r="Q53" s="36">
        <v>205.01297400919998</v>
      </c>
      <c r="R53" s="36">
        <v>104.804474903779</v>
      </c>
      <c r="S53" s="47">
        <f>SUM(G53:R53)</f>
        <v>2703.6810869453348</v>
      </c>
      <c r="T53" s="36">
        <v>393.6583858620312</v>
      </c>
      <c r="U53" s="36">
        <v>236.42106348384002</v>
      </c>
      <c r="V53" s="36">
        <v>122.1785770059408</v>
      </c>
      <c r="W53" s="36">
        <v>344.16010265545924</v>
      </c>
      <c r="X53" s="36">
        <v>41.952575432915999</v>
      </c>
      <c r="Y53" s="36">
        <v>278.50147121648399</v>
      </c>
      <c r="Z53" s="36">
        <v>251.87696024748001</v>
      </c>
      <c r="AA53" s="36">
        <v>213.483102845442</v>
      </c>
      <c r="AB53" s="36">
        <v>293.71568032641477</v>
      </c>
      <c r="AC53" s="36">
        <v>331.79911717701958</v>
      </c>
      <c r="AD53" s="36">
        <v>242.59068922104004</v>
      </c>
      <c r="AE53" s="36">
        <v>119.81597474604</v>
      </c>
      <c r="AF53" s="47">
        <f>SUM(T53:AE53)</f>
        <v>2870.153700220108</v>
      </c>
      <c r="AG53" s="36">
        <v>257.75464917959999</v>
      </c>
      <c r="AH53" s="36">
        <v>239.22524843363999</v>
      </c>
      <c r="AI53" s="36">
        <v>219.93605806872</v>
      </c>
      <c r="AJ53" s="36">
        <v>253.13936703444</v>
      </c>
      <c r="AK53" s="36">
        <v>190.81860783120001</v>
      </c>
      <c r="AL53" s="36">
        <v>207.66047143560002</v>
      </c>
      <c r="AM53" s="36">
        <v>272.11107088824002</v>
      </c>
      <c r="AN53" s="36">
        <v>252.47675006796001</v>
      </c>
      <c r="AO53" s="36">
        <v>174.46218864156</v>
      </c>
      <c r="AP53" s="36">
        <v>252.60533629344002</v>
      </c>
      <c r="AQ53" s="36">
        <v>237.42546012456003</v>
      </c>
      <c r="AR53" s="36">
        <v>242.72597700876003</v>
      </c>
      <c r="AS53" s="47">
        <f>SUM(AG53:AR53)</f>
        <v>2800.34118500772</v>
      </c>
      <c r="AT53" s="26">
        <v>244.65399647628001</v>
      </c>
      <c r="AU53" s="26">
        <v>254.80197555522</v>
      </c>
      <c r="AV53" s="26">
        <v>223.43914847976004</v>
      </c>
      <c r="AW53" s="26">
        <v>248.91465005130001</v>
      </c>
      <c r="AX53" s="26">
        <v>276.56130385668001</v>
      </c>
      <c r="AY53" s="26">
        <v>239.76678864204001</v>
      </c>
      <c r="AZ53" s="26">
        <v>266.08756733033999</v>
      </c>
      <c r="BA53" s="26">
        <v>248.46535861086002</v>
      </c>
      <c r="BB53" s="26">
        <v>246.24216979776003</v>
      </c>
      <c r="BC53" s="26">
        <v>225.42203829270002</v>
      </c>
      <c r="BD53" s="26">
        <v>258.95474841714002</v>
      </c>
      <c r="BE53" s="26">
        <v>221.30691791496</v>
      </c>
      <c r="BF53" s="56">
        <f>SUM(AT53:BE53)</f>
        <v>2954.6166634250403</v>
      </c>
      <c r="BG53" s="26">
        <v>237.60071314763999</v>
      </c>
      <c r="BH53" s="26">
        <v>254.66828808330004</v>
      </c>
      <c r="BI53" s="26">
        <v>219.04819192578</v>
      </c>
      <c r="BJ53" s="26">
        <v>254.53883122758</v>
      </c>
      <c r="BK53" s="26">
        <v>268.55105514360002</v>
      </c>
      <c r="BL53" s="26">
        <v>152.65036291326001</v>
      </c>
      <c r="BM53" s="26">
        <v>145.80057222384002</v>
      </c>
      <c r="BN53" s="26">
        <v>146.10009985080001</v>
      </c>
      <c r="BO53" s="26">
        <v>138.46933741086002</v>
      </c>
      <c r="BP53" s="26">
        <v>127.09701800364002</v>
      </c>
      <c r="BQ53" s="26">
        <v>135.33783529962002</v>
      </c>
      <c r="BR53" s="26">
        <v>115.38836460851999</v>
      </c>
      <c r="BS53" s="55">
        <f>SUM(BG53:BR53)</f>
        <v>2195.25066983844</v>
      </c>
      <c r="BT53" s="39">
        <v>239.57866213770001</v>
      </c>
      <c r="BU53" s="39">
        <v>227.42918898809998</v>
      </c>
      <c r="BV53" s="39">
        <v>213.368774274</v>
      </c>
      <c r="BW53" s="39">
        <v>213.88711443719998</v>
      </c>
      <c r="BX53" s="39">
        <v>242.92248153509996</v>
      </c>
      <c r="BY53" s="39">
        <v>226.74974309849998</v>
      </c>
      <c r="BZ53" s="39">
        <v>242.06398063979995</v>
      </c>
      <c r="CA53" s="39">
        <v>216.5440455609</v>
      </c>
      <c r="CB53" s="39">
        <v>209.80518565200001</v>
      </c>
      <c r="CC53" s="39">
        <v>227.4515161404</v>
      </c>
      <c r="CD53" s="39">
        <v>207.2686460358</v>
      </c>
      <c r="CE53" s="39">
        <v>184.70333744460001</v>
      </c>
      <c r="CF53" s="54">
        <f>SUM(BT53:CE53)</f>
        <v>2651.7726759440998</v>
      </c>
      <c r="CG53" s="38">
        <v>0</v>
      </c>
      <c r="CH53" s="38">
        <v>0</v>
      </c>
      <c r="CI53" s="38">
        <v>0</v>
      </c>
      <c r="CJ53" s="38">
        <v>0</v>
      </c>
      <c r="CK53" s="38">
        <v>0</v>
      </c>
      <c r="CL53" s="38">
        <v>0</v>
      </c>
      <c r="CM53" s="38">
        <v>0</v>
      </c>
      <c r="CN53" s="38">
        <v>0</v>
      </c>
      <c r="CO53" s="38">
        <v>0</v>
      </c>
      <c r="CP53" s="38">
        <v>0</v>
      </c>
      <c r="CQ53" s="38">
        <v>0</v>
      </c>
      <c r="CR53" s="38">
        <v>0</v>
      </c>
      <c r="CS53" s="54">
        <f>SUM(CG53:CR53)</f>
        <v>0</v>
      </c>
    </row>
    <row r="54" spans="1:97" x14ac:dyDescent="0.15">
      <c r="D54" s="25"/>
      <c r="E54" s="47"/>
      <c r="F54" s="47"/>
      <c r="G54" s="36"/>
      <c r="H54" s="36"/>
      <c r="I54" s="36"/>
      <c r="J54" s="36"/>
      <c r="K54" s="36"/>
      <c r="L54" s="36"/>
      <c r="M54" s="36"/>
      <c r="N54" s="36"/>
      <c r="O54" s="36"/>
      <c r="P54" s="36"/>
      <c r="Q54" s="36"/>
      <c r="R54" s="36"/>
      <c r="S54" s="47"/>
      <c r="T54" s="36"/>
      <c r="U54" s="36"/>
      <c r="V54" s="36"/>
      <c r="W54" s="36"/>
      <c r="X54" s="36"/>
      <c r="Y54" s="36"/>
      <c r="Z54" s="36"/>
      <c r="AA54" s="36"/>
      <c r="AB54" s="36"/>
      <c r="AC54" s="36"/>
      <c r="AD54" s="36"/>
      <c r="AE54" s="36"/>
      <c r="AF54" s="47"/>
      <c r="AG54" s="36"/>
      <c r="AH54" s="32"/>
      <c r="AI54" s="32"/>
      <c r="AJ54" s="32"/>
      <c r="AK54" s="32"/>
      <c r="AL54" s="32"/>
      <c r="AM54" s="32"/>
      <c r="AN54" s="32"/>
      <c r="AO54" s="32"/>
      <c r="AP54" s="32"/>
      <c r="AQ54" s="32"/>
      <c r="AR54" s="32"/>
      <c r="AS54" s="47"/>
      <c r="AT54" s="26"/>
      <c r="BF54" s="56"/>
      <c r="BG54" s="26"/>
      <c r="BS54" s="55"/>
      <c r="BT54" s="38"/>
      <c r="BU54" s="44"/>
      <c r="BV54" s="44"/>
      <c r="BW54" s="44"/>
      <c r="BX54" s="44"/>
      <c r="BY54" s="44"/>
      <c r="BZ54" s="44"/>
      <c r="CA54" s="44"/>
      <c r="CB54" s="44"/>
      <c r="CC54" s="44"/>
      <c r="CD54" s="44"/>
      <c r="CE54" s="44"/>
      <c r="CF54" s="54"/>
      <c r="CG54" s="38"/>
      <c r="CH54" s="44"/>
      <c r="CI54" s="44"/>
      <c r="CJ54" s="44"/>
      <c r="CK54" s="44"/>
      <c r="CL54" s="44"/>
      <c r="CM54" s="44"/>
      <c r="CN54" s="44"/>
      <c r="CO54" s="44"/>
      <c r="CP54" s="44"/>
      <c r="CQ54" s="44"/>
      <c r="CR54" s="44"/>
      <c r="CS54" s="54"/>
    </row>
    <row r="55" spans="1:97" x14ac:dyDescent="0.15">
      <c r="A55" s="22" t="s">
        <v>18</v>
      </c>
      <c r="D55" s="25">
        <v>16</v>
      </c>
      <c r="E55" s="47">
        <v>46</v>
      </c>
      <c r="F55" s="47">
        <v>144</v>
      </c>
      <c r="G55" s="58">
        <f t="shared" ref="G55:R55" si="83">$F$55/12</f>
        <v>12</v>
      </c>
      <c r="H55" s="58">
        <f t="shared" si="83"/>
        <v>12</v>
      </c>
      <c r="I55" s="58">
        <f t="shared" si="83"/>
        <v>12</v>
      </c>
      <c r="J55" s="58">
        <f t="shared" si="83"/>
        <v>12</v>
      </c>
      <c r="K55" s="58">
        <f t="shared" si="83"/>
        <v>12</v>
      </c>
      <c r="L55" s="58">
        <f t="shared" si="83"/>
        <v>12</v>
      </c>
      <c r="M55" s="58">
        <f t="shared" si="83"/>
        <v>12</v>
      </c>
      <c r="N55" s="58">
        <f t="shared" si="83"/>
        <v>12</v>
      </c>
      <c r="O55" s="58">
        <f t="shared" si="83"/>
        <v>12</v>
      </c>
      <c r="P55" s="58">
        <f t="shared" si="83"/>
        <v>12</v>
      </c>
      <c r="Q55" s="58">
        <f t="shared" si="83"/>
        <v>12</v>
      </c>
      <c r="R55" s="58">
        <f t="shared" si="83"/>
        <v>12</v>
      </c>
      <c r="S55" s="47">
        <f>SUM(G55:R55)</f>
        <v>144</v>
      </c>
      <c r="T55" s="58">
        <f t="shared" ref="T55:AE55" si="84">$F$55/12</f>
        <v>12</v>
      </c>
      <c r="U55" s="58">
        <f t="shared" si="84"/>
        <v>12</v>
      </c>
      <c r="V55" s="58">
        <f t="shared" si="84"/>
        <v>12</v>
      </c>
      <c r="W55" s="58">
        <f t="shared" si="84"/>
        <v>12</v>
      </c>
      <c r="X55" s="58">
        <f t="shared" si="84"/>
        <v>12</v>
      </c>
      <c r="Y55" s="58">
        <f t="shared" si="84"/>
        <v>12</v>
      </c>
      <c r="Z55" s="58">
        <f t="shared" si="84"/>
        <v>12</v>
      </c>
      <c r="AA55" s="58">
        <f t="shared" si="84"/>
        <v>12</v>
      </c>
      <c r="AB55" s="58">
        <f t="shared" si="84"/>
        <v>12</v>
      </c>
      <c r="AC55" s="58">
        <f t="shared" si="84"/>
        <v>12</v>
      </c>
      <c r="AD55" s="58">
        <f t="shared" si="84"/>
        <v>12</v>
      </c>
      <c r="AE55" s="58">
        <f t="shared" si="84"/>
        <v>12</v>
      </c>
      <c r="AF55" s="47">
        <f>SUM(T55:AE55)</f>
        <v>144</v>
      </c>
      <c r="AG55" s="58">
        <f t="shared" ref="AG55:AR55" si="85">$F$55/12</f>
        <v>12</v>
      </c>
      <c r="AH55" s="58">
        <f t="shared" si="85"/>
        <v>12</v>
      </c>
      <c r="AI55" s="58">
        <f t="shared" si="85"/>
        <v>12</v>
      </c>
      <c r="AJ55" s="58">
        <f t="shared" si="85"/>
        <v>12</v>
      </c>
      <c r="AK55" s="58">
        <f t="shared" si="85"/>
        <v>12</v>
      </c>
      <c r="AL55" s="58">
        <f t="shared" si="85"/>
        <v>12</v>
      </c>
      <c r="AM55" s="58">
        <f t="shared" si="85"/>
        <v>12</v>
      </c>
      <c r="AN55" s="58">
        <f t="shared" si="85"/>
        <v>12</v>
      </c>
      <c r="AO55" s="58">
        <f t="shared" si="85"/>
        <v>12</v>
      </c>
      <c r="AP55" s="58">
        <f t="shared" si="85"/>
        <v>12</v>
      </c>
      <c r="AQ55" s="58">
        <f t="shared" si="85"/>
        <v>12</v>
      </c>
      <c r="AR55" s="58">
        <f t="shared" si="85"/>
        <v>12</v>
      </c>
      <c r="AS55" s="47">
        <f>SUM(AG55:AR55)</f>
        <v>144</v>
      </c>
      <c r="AT55" s="57">
        <f t="shared" ref="AT55:BE55" si="86">$F$55/12</f>
        <v>12</v>
      </c>
      <c r="AU55" s="57">
        <f t="shared" si="86"/>
        <v>12</v>
      </c>
      <c r="AV55" s="57">
        <f t="shared" si="86"/>
        <v>12</v>
      </c>
      <c r="AW55" s="57">
        <f t="shared" si="86"/>
        <v>12</v>
      </c>
      <c r="AX55" s="57">
        <f t="shared" si="86"/>
        <v>12</v>
      </c>
      <c r="AY55" s="57">
        <f t="shared" si="86"/>
        <v>12</v>
      </c>
      <c r="AZ55" s="57">
        <f t="shared" si="86"/>
        <v>12</v>
      </c>
      <c r="BA55" s="57">
        <f t="shared" si="86"/>
        <v>12</v>
      </c>
      <c r="BB55" s="57">
        <f t="shared" si="86"/>
        <v>12</v>
      </c>
      <c r="BC55" s="57">
        <f t="shared" si="86"/>
        <v>12</v>
      </c>
      <c r="BD55" s="57">
        <f t="shared" si="86"/>
        <v>12</v>
      </c>
      <c r="BE55" s="57">
        <f t="shared" si="86"/>
        <v>12</v>
      </c>
      <c r="BF55" s="56">
        <f>SUM(AT55:BE55)</f>
        <v>144</v>
      </c>
      <c r="BG55" s="57">
        <f t="shared" ref="BG55:BR55" si="87">$F$55/12</f>
        <v>12</v>
      </c>
      <c r="BH55" s="57">
        <f t="shared" si="87"/>
        <v>12</v>
      </c>
      <c r="BI55" s="57">
        <f t="shared" si="87"/>
        <v>12</v>
      </c>
      <c r="BJ55" s="57">
        <f t="shared" si="87"/>
        <v>12</v>
      </c>
      <c r="BK55" s="57">
        <f t="shared" si="87"/>
        <v>12</v>
      </c>
      <c r="BL55" s="57">
        <f t="shared" si="87"/>
        <v>12</v>
      </c>
      <c r="BM55" s="57">
        <f t="shared" si="87"/>
        <v>12</v>
      </c>
      <c r="BN55" s="57">
        <f t="shared" si="87"/>
        <v>12</v>
      </c>
      <c r="BO55" s="57">
        <f t="shared" si="87"/>
        <v>12</v>
      </c>
      <c r="BP55" s="57">
        <f t="shared" si="87"/>
        <v>12</v>
      </c>
      <c r="BQ55" s="57">
        <f t="shared" si="87"/>
        <v>12</v>
      </c>
      <c r="BR55" s="57">
        <f t="shared" si="87"/>
        <v>12</v>
      </c>
      <c r="BS55" s="55">
        <f>SUM(BG55:BR55)</f>
        <v>144</v>
      </c>
      <c r="BT55" s="38">
        <v>12</v>
      </c>
      <c r="BU55" s="38">
        <v>12</v>
      </c>
      <c r="BV55" s="38">
        <v>12</v>
      </c>
      <c r="BW55" s="38">
        <v>12</v>
      </c>
      <c r="BX55" s="38">
        <v>12</v>
      </c>
      <c r="BY55" s="38">
        <v>12</v>
      </c>
      <c r="BZ55" s="38">
        <v>12</v>
      </c>
      <c r="CA55" s="38">
        <v>12</v>
      </c>
      <c r="CB55" s="38">
        <v>12</v>
      </c>
      <c r="CC55" s="38">
        <v>12</v>
      </c>
      <c r="CD55" s="38">
        <v>12</v>
      </c>
      <c r="CE55" s="38">
        <v>12</v>
      </c>
      <c r="CF55" s="54">
        <f>SUM(BT55:CE55)</f>
        <v>144</v>
      </c>
      <c r="CG55" s="38">
        <f t="shared" ref="CG55:CR55" si="88">$F$55/12</f>
        <v>12</v>
      </c>
      <c r="CH55" s="38">
        <f t="shared" si="88"/>
        <v>12</v>
      </c>
      <c r="CI55" s="38">
        <f t="shared" si="88"/>
        <v>12</v>
      </c>
      <c r="CJ55" s="38">
        <f t="shared" si="88"/>
        <v>12</v>
      </c>
      <c r="CK55" s="38">
        <f t="shared" si="88"/>
        <v>12</v>
      </c>
      <c r="CL55" s="38">
        <f t="shared" si="88"/>
        <v>12</v>
      </c>
      <c r="CM55" s="38">
        <f t="shared" si="88"/>
        <v>12</v>
      </c>
      <c r="CN55" s="38">
        <f t="shared" si="88"/>
        <v>12</v>
      </c>
      <c r="CO55" s="38">
        <f t="shared" si="88"/>
        <v>12</v>
      </c>
      <c r="CP55" s="38">
        <f t="shared" si="88"/>
        <v>12</v>
      </c>
      <c r="CQ55" s="38">
        <f t="shared" si="88"/>
        <v>12</v>
      </c>
      <c r="CR55" s="38">
        <f t="shared" si="88"/>
        <v>12</v>
      </c>
      <c r="CS55" s="54">
        <f>SUM(CG55:CR55)</f>
        <v>144</v>
      </c>
    </row>
    <row r="56" spans="1:97" x14ac:dyDescent="0.15">
      <c r="D56" s="25"/>
      <c r="E56" s="47"/>
      <c r="F56" s="47"/>
      <c r="G56" s="36"/>
      <c r="H56" s="35"/>
      <c r="I56" s="35"/>
      <c r="J56" s="35"/>
      <c r="K56" s="35"/>
      <c r="L56" s="35"/>
      <c r="M56" s="35"/>
      <c r="N56" s="35"/>
      <c r="O56" s="35"/>
      <c r="P56" s="35"/>
      <c r="Q56" s="35"/>
      <c r="R56" s="36"/>
      <c r="S56" s="36"/>
      <c r="T56" s="36"/>
      <c r="U56" s="36"/>
      <c r="V56" s="36"/>
      <c r="W56" s="36"/>
      <c r="X56" s="36"/>
      <c r="Y56" s="36"/>
      <c r="Z56" s="36"/>
      <c r="AA56" s="36"/>
      <c r="AB56" s="36"/>
      <c r="AC56" s="36"/>
      <c r="AD56" s="36"/>
      <c r="AE56" s="36"/>
      <c r="AF56" s="36"/>
      <c r="AG56" s="36"/>
      <c r="AH56" s="32"/>
      <c r="AI56" s="32"/>
      <c r="AJ56" s="32"/>
      <c r="AK56" s="32"/>
      <c r="AL56" s="32"/>
      <c r="AM56" s="32"/>
      <c r="AN56" s="32"/>
      <c r="AO56" s="32"/>
      <c r="AP56" s="32"/>
      <c r="AQ56" s="32"/>
      <c r="AR56" s="32"/>
      <c r="AS56" s="36"/>
      <c r="AT56" s="26"/>
      <c r="BF56" s="46"/>
      <c r="BG56" s="26"/>
      <c r="BS56" s="45"/>
      <c r="BT56" s="38"/>
      <c r="BU56" s="44"/>
      <c r="BV56" s="44"/>
      <c r="BW56" s="44"/>
      <c r="BX56" s="44"/>
      <c r="BY56" s="44"/>
      <c r="BZ56" s="44"/>
      <c r="CA56" s="44"/>
      <c r="CB56" s="44"/>
      <c r="CC56" s="44"/>
      <c r="CD56" s="44"/>
      <c r="CE56" s="44"/>
      <c r="CF56" s="26"/>
      <c r="CG56" s="38"/>
      <c r="CH56" s="44"/>
      <c r="CI56" s="44"/>
      <c r="CJ56" s="44"/>
      <c r="CK56" s="44"/>
      <c r="CL56" s="44"/>
      <c r="CM56" s="44"/>
      <c r="CN56" s="44"/>
      <c r="CO56" s="44"/>
      <c r="CP56" s="44"/>
      <c r="CQ56" s="44"/>
      <c r="CR56" s="44"/>
      <c r="CS56" s="26"/>
    </row>
    <row r="57" spans="1:97" x14ac:dyDescent="0.15">
      <c r="B57" s="53" t="s">
        <v>66</v>
      </c>
      <c r="D57" s="25"/>
      <c r="E57" s="51">
        <f t="shared" ref="E57:R57" si="89">E49+E51+E53+E55</f>
        <v>25868</v>
      </c>
      <c r="F57" s="51">
        <f t="shared" si="89"/>
        <v>7891</v>
      </c>
      <c r="G57" s="52">
        <f t="shared" si="89"/>
        <v>720.23652460646997</v>
      </c>
      <c r="H57" s="52">
        <f t="shared" si="89"/>
        <v>745.80101740537998</v>
      </c>
      <c r="I57" s="52">
        <f t="shared" si="89"/>
        <v>830.09835316402462</v>
      </c>
      <c r="J57" s="52">
        <f t="shared" si="89"/>
        <v>1135.1513230252181</v>
      </c>
      <c r="K57" s="52">
        <f t="shared" si="89"/>
        <v>612.79953516362002</v>
      </c>
      <c r="L57" s="52">
        <f t="shared" si="89"/>
        <v>429.10752276798797</v>
      </c>
      <c r="M57" s="52">
        <f t="shared" si="89"/>
        <v>610.93048905782553</v>
      </c>
      <c r="N57" s="52">
        <f t="shared" si="89"/>
        <v>703.43681903233005</v>
      </c>
      <c r="O57" s="52">
        <f t="shared" si="89"/>
        <v>394.37677098745053</v>
      </c>
      <c r="P57" s="52">
        <f t="shared" si="89"/>
        <v>659.51202959119951</v>
      </c>
      <c r="Q57" s="52">
        <f t="shared" si="89"/>
        <v>726.61149560104013</v>
      </c>
      <c r="R57" s="52">
        <f t="shared" si="89"/>
        <v>662.64199691073907</v>
      </c>
      <c r="S57" s="51">
        <f>SUM(G57:R57)</f>
        <v>8230.7038773132845</v>
      </c>
      <c r="T57" s="52">
        <f t="shared" ref="T57:AE57" si="90">T49+T51+T53+T55</f>
        <v>1135.293798033751</v>
      </c>
      <c r="U57" s="52">
        <f t="shared" si="90"/>
        <v>1025.92959758354</v>
      </c>
      <c r="V57" s="52">
        <f t="shared" si="90"/>
        <v>712.94623495976077</v>
      </c>
      <c r="W57" s="52">
        <f t="shared" si="90"/>
        <v>813.62811466977928</v>
      </c>
      <c r="X57" s="52">
        <f t="shared" si="90"/>
        <v>427.06149359340594</v>
      </c>
      <c r="Y57" s="52">
        <f t="shared" si="90"/>
        <v>594.54670342898396</v>
      </c>
      <c r="Z57" s="52">
        <f t="shared" si="90"/>
        <v>564.79697618683008</v>
      </c>
      <c r="AA57" s="52">
        <f t="shared" si="90"/>
        <v>506.13625149810207</v>
      </c>
      <c r="AB57" s="52">
        <f t="shared" si="90"/>
        <v>538.49925653115474</v>
      </c>
      <c r="AC57" s="52">
        <f t="shared" si="90"/>
        <v>709.62791981824955</v>
      </c>
      <c r="AD57" s="52">
        <f t="shared" si="90"/>
        <v>683.78010684546007</v>
      </c>
      <c r="AE57" s="52">
        <f t="shared" si="90"/>
        <v>647.76629682997998</v>
      </c>
      <c r="AF57" s="51">
        <f>SUM(T57:AE57)</f>
        <v>8360.0127499789978</v>
      </c>
      <c r="AG57" s="52">
        <f t="shared" ref="AG57:AR57" si="91">AG49+AG51+AG53+AG55</f>
        <v>797.54014933732992</v>
      </c>
      <c r="AH57" s="52">
        <f t="shared" si="91"/>
        <v>712.42720849319994</v>
      </c>
      <c r="AI57" s="52">
        <f t="shared" si="91"/>
        <v>724.44843751022995</v>
      </c>
      <c r="AJ57" s="52">
        <f t="shared" si="91"/>
        <v>718.48615458288998</v>
      </c>
      <c r="AK57" s="52">
        <f t="shared" si="91"/>
        <v>548.94082483054001</v>
      </c>
      <c r="AL57" s="52">
        <f t="shared" si="91"/>
        <v>475.07766292996001</v>
      </c>
      <c r="AM57" s="52">
        <f t="shared" si="91"/>
        <v>448.43621388036001</v>
      </c>
      <c r="AN57" s="52">
        <f t="shared" si="91"/>
        <v>460.48907553693005</v>
      </c>
      <c r="AO57" s="52">
        <f t="shared" si="91"/>
        <v>375.71505931882996</v>
      </c>
      <c r="AP57" s="52">
        <f t="shared" si="91"/>
        <v>507.54351271899003</v>
      </c>
      <c r="AQ57" s="52">
        <f t="shared" si="91"/>
        <v>539.13802935755007</v>
      </c>
      <c r="AR57" s="52">
        <f t="shared" si="91"/>
        <v>786.91888348091993</v>
      </c>
      <c r="AS57" s="51">
        <f>SUM(AG57:AR57)</f>
        <v>7095.1612119777301</v>
      </c>
      <c r="AT57" s="39">
        <f t="shared" ref="AT57:BE57" si="92">AT49+AT51+AT53+AT55</f>
        <v>729.92877945980001</v>
      </c>
      <c r="AU57" s="39">
        <f t="shared" si="92"/>
        <v>611.34219940850005</v>
      </c>
      <c r="AV57" s="39">
        <f t="shared" si="92"/>
        <v>638.0023711156</v>
      </c>
      <c r="AW57" s="39">
        <f t="shared" si="92"/>
        <v>557.50640858962004</v>
      </c>
      <c r="AX57" s="39">
        <f t="shared" si="92"/>
        <v>547.41171966612001</v>
      </c>
      <c r="AY57" s="39">
        <f t="shared" si="92"/>
        <v>441.48028377068005</v>
      </c>
      <c r="AZ57" s="39">
        <f t="shared" si="92"/>
        <v>535.94519385473995</v>
      </c>
      <c r="BA57" s="39">
        <f t="shared" si="92"/>
        <v>532.48311827990005</v>
      </c>
      <c r="BB57" s="39">
        <f t="shared" si="92"/>
        <v>531.56848910240001</v>
      </c>
      <c r="BC57" s="39">
        <f t="shared" si="92"/>
        <v>636.94129942782001</v>
      </c>
      <c r="BD57" s="39">
        <f t="shared" si="92"/>
        <v>738.41271532370001</v>
      </c>
      <c r="BE57" s="39">
        <f t="shared" si="92"/>
        <v>808.50123476120007</v>
      </c>
      <c r="BF57" s="50">
        <f>SUM(AT57:BE57)</f>
        <v>7309.5238127600815</v>
      </c>
      <c r="BG57" s="39">
        <f t="shared" ref="BG57:BR57" si="93">BG49+BG51+BG53+BG55</f>
        <v>692.16699855787999</v>
      </c>
      <c r="BH57" s="39">
        <f t="shared" si="93"/>
        <v>608.67362251042005</v>
      </c>
      <c r="BI57" s="39">
        <f t="shared" si="93"/>
        <v>632.23248797201995</v>
      </c>
      <c r="BJ57" s="39">
        <f t="shared" si="93"/>
        <v>656.74216033374</v>
      </c>
      <c r="BK57" s="39">
        <f t="shared" si="93"/>
        <v>634.20276557320005</v>
      </c>
      <c r="BL57" s="39">
        <f t="shared" si="93"/>
        <v>489.6470705127</v>
      </c>
      <c r="BM57" s="39">
        <f t="shared" si="93"/>
        <v>431.59576631255993</v>
      </c>
      <c r="BN57" s="39">
        <f t="shared" si="93"/>
        <v>392.82812460471996</v>
      </c>
      <c r="BO57" s="39">
        <f t="shared" si="93"/>
        <v>415.42384719374002</v>
      </c>
      <c r="BP57" s="39">
        <f t="shared" si="93"/>
        <v>484.70172897260005</v>
      </c>
      <c r="BQ57" s="39">
        <f t="shared" si="93"/>
        <v>698.58592973361999</v>
      </c>
      <c r="BR57" s="39">
        <f t="shared" si="93"/>
        <v>677.97124613523999</v>
      </c>
      <c r="BS57" s="49">
        <f>SUM(BG57:BR57)</f>
        <v>6814.7717484124396</v>
      </c>
      <c r="BT57" s="39">
        <v>874.73819525374006</v>
      </c>
      <c r="BU57" s="39">
        <v>858.70635734936991</v>
      </c>
      <c r="BV57" s="39">
        <v>790.46019257065996</v>
      </c>
      <c r="BW57" s="39">
        <v>695.94016724934363</v>
      </c>
      <c r="BX57" s="39">
        <v>646.55120298259999</v>
      </c>
      <c r="BY57" s="39">
        <v>608.86113848294883</v>
      </c>
      <c r="BZ57" s="39">
        <v>616.22408697450987</v>
      </c>
      <c r="CA57" s="39">
        <v>445.60273858402377</v>
      </c>
      <c r="CB57" s="39">
        <v>483.48851430374009</v>
      </c>
      <c r="CC57" s="39">
        <v>603.32109164466749</v>
      </c>
      <c r="CD57" s="39">
        <v>697.90838519248996</v>
      </c>
      <c r="CE57" s="39">
        <v>736.03023596953494</v>
      </c>
      <c r="CF57" s="48">
        <f>SUM(BT57:CE57)</f>
        <v>8057.8323065576287</v>
      </c>
      <c r="CG57" s="38">
        <f t="shared" ref="CG57:CR57" si="94">CG49+CG51+CG53+CG55</f>
        <v>12</v>
      </c>
      <c r="CH57" s="38">
        <f t="shared" si="94"/>
        <v>12</v>
      </c>
      <c r="CI57" s="38">
        <f t="shared" si="94"/>
        <v>12</v>
      </c>
      <c r="CJ57" s="38">
        <f t="shared" si="94"/>
        <v>12</v>
      </c>
      <c r="CK57" s="38">
        <f t="shared" si="94"/>
        <v>12</v>
      </c>
      <c r="CL57" s="38">
        <f t="shared" si="94"/>
        <v>12</v>
      </c>
      <c r="CM57" s="38">
        <f t="shared" si="94"/>
        <v>12</v>
      </c>
      <c r="CN57" s="38">
        <f t="shared" si="94"/>
        <v>12</v>
      </c>
      <c r="CO57" s="38">
        <f t="shared" si="94"/>
        <v>12</v>
      </c>
      <c r="CP57" s="38">
        <f t="shared" si="94"/>
        <v>12</v>
      </c>
      <c r="CQ57" s="38">
        <f t="shared" si="94"/>
        <v>12</v>
      </c>
      <c r="CR57" s="38">
        <f t="shared" si="94"/>
        <v>12</v>
      </c>
      <c r="CS57" s="48">
        <f>SUM(CG57:CR57)</f>
        <v>144</v>
      </c>
    </row>
    <row r="58" spans="1:97" x14ac:dyDescent="0.15">
      <c r="D58" s="25"/>
      <c r="E58" s="47"/>
      <c r="F58" s="47"/>
      <c r="G58" s="36"/>
      <c r="H58" s="35"/>
      <c r="I58" s="35"/>
      <c r="J58" s="35"/>
      <c r="K58" s="35"/>
      <c r="L58" s="35"/>
      <c r="M58" s="35"/>
      <c r="N58" s="35"/>
      <c r="O58" s="35"/>
      <c r="P58" s="35"/>
      <c r="Q58" s="35"/>
      <c r="R58" s="36"/>
      <c r="S58" s="36"/>
      <c r="T58" s="36"/>
      <c r="U58" s="36"/>
      <c r="V58" s="36"/>
      <c r="W58" s="36"/>
      <c r="X58" s="36"/>
      <c r="Y58" s="36"/>
      <c r="Z58" s="36"/>
      <c r="AA58" s="36"/>
      <c r="AB58" s="36"/>
      <c r="AC58" s="36"/>
      <c r="AD58" s="36"/>
      <c r="AE58" s="36"/>
      <c r="AF58" s="36"/>
      <c r="AG58" s="36"/>
      <c r="AH58" s="32"/>
      <c r="AI58" s="32"/>
      <c r="AJ58" s="32"/>
      <c r="AK58" s="32"/>
      <c r="AL58" s="32"/>
      <c r="AM58" s="32"/>
      <c r="AN58" s="32"/>
      <c r="AO58" s="32"/>
      <c r="AP58" s="32"/>
      <c r="AQ58" s="32"/>
      <c r="AR58" s="32"/>
      <c r="AS58" s="36"/>
      <c r="AT58" s="26"/>
      <c r="BF58" s="46"/>
      <c r="BG58" s="26"/>
      <c r="BS58" s="45"/>
      <c r="BT58" s="38"/>
      <c r="BU58" s="44"/>
      <c r="BV58" s="44"/>
      <c r="BW58" s="44"/>
      <c r="BX58" s="44"/>
      <c r="BY58" s="44"/>
      <c r="BZ58" s="44"/>
      <c r="CA58" s="44"/>
      <c r="CB58" s="44"/>
      <c r="CC58" s="44"/>
      <c r="CD58" s="44"/>
      <c r="CE58" s="44"/>
      <c r="CF58" s="26"/>
      <c r="CG58" s="38"/>
      <c r="CH58" s="44"/>
      <c r="CI58" s="44"/>
      <c r="CJ58" s="44"/>
      <c r="CK58" s="44"/>
      <c r="CL58" s="44"/>
      <c r="CM58" s="44"/>
      <c r="CN58" s="44"/>
      <c r="CO58" s="44"/>
      <c r="CP58" s="44"/>
      <c r="CQ58" s="44"/>
      <c r="CR58" s="44"/>
      <c r="CS58" s="26"/>
    </row>
    <row r="59" spans="1:97" ht="16" x14ac:dyDescent="0.2">
      <c r="A59" s="43" t="s">
        <v>27</v>
      </c>
      <c r="B59" s="43"/>
      <c r="D59" s="25"/>
      <c r="E59" s="47"/>
      <c r="F59" s="65"/>
      <c r="G59" s="36"/>
      <c r="H59" s="35"/>
      <c r="I59" s="35"/>
      <c r="J59" s="35"/>
      <c r="K59" s="35"/>
      <c r="L59" s="35"/>
      <c r="M59" s="35"/>
      <c r="N59" s="35"/>
      <c r="O59" s="35"/>
      <c r="P59" s="35"/>
      <c r="Q59" s="35"/>
      <c r="R59" s="64"/>
      <c r="S59" s="64"/>
      <c r="T59" s="64"/>
      <c r="U59" s="64"/>
      <c r="V59" s="64"/>
      <c r="W59" s="64"/>
      <c r="X59" s="64"/>
      <c r="Y59" s="64"/>
      <c r="Z59" s="64"/>
      <c r="AA59" s="64"/>
      <c r="AB59" s="64"/>
      <c r="AC59" s="64"/>
      <c r="AD59" s="64"/>
      <c r="AE59" s="64"/>
      <c r="AF59" s="64"/>
      <c r="AG59" s="64"/>
      <c r="AH59" s="32"/>
      <c r="AI59" s="32"/>
      <c r="AJ59" s="32"/>
      <c r="AK59" s="32"/>
      <c r="AL59" s="32"/>
      <c r="AM59" s="32"/>
      <c r="AN59" s="32"/>
      <c r="AO59" s="32"/>
      <c r="AP59" s="32"/>
      <c r="AQ59" s="32"/>
      <c r="AR59" s="32"/>
      <c r="AS59" s="64"/>
      <c r="AT59" s="60"/>
      <c r="BF59" s="63"/>
      <c r="BG59" s="60"/>
      <c r="BS59" s="62"/>
      <c r="BT59" s="61"/>
      <c r="BU59" s="44"/>
      <c r="BV59" s="44"/>
      <c r="BW59" s="44"/>
      <c r="BX59" s="44"/>
      <c r="BY59" s="44"/>
      <c r="BZ59" s="44"/>
      <c r="CA59" s="44"/>
      <c r="CB59" s="44"/>
      <c r="CC59" s="44"/>
      <c r="CD59" s="44"/>
      <c r="CE59" s="44"/>
      <c r="CF59" s="60"/>
      <c r="CG59" s="61"/>
      <c r="CH59" s="44"/>
      <c r="CI59" s="44"/>
      <c r="CJ59" s="44"/>
      <c r="CK59" s="44"/>
      <c r="CL59" s="44"/>
      <c r="CM59" s="44"/>
      <c r="CN59" s="44"/>
      <c r="CO59" s="44"/>
      <c r="CP59" s="44"/>
      <c r="CQ59" s="44"/>
      <c r="CR59" s="44"/>
      <c r="CS59" s="60"/>
    </row>
    <row r="60" spans="1:97" x14ac:dyDescent="0.15">
      <c r="D60" s="25"/>
      <c r="E60" s="47"/>
      <c r="F60" s="47"/>
      <c r="G60" s="36"/>
      <c r="H60" s="35"/>
      <c r="I60" s="35"/>
      <c r="J60" s="35"/>
      <c r="K60" s="35"/>
      <c r="L60" s="35"/>
      <c r="M60" s="35"/>
      <c r="N60" s="35"/>
      <c r="O60" s="35"/>
      <c r="P60" s="35"/>
      <c r="Q60" s="35"/>
      <c r="R60" s="36"/>
      <c r="S60" s="36"/>
      <c r="T60" s="36"/>
      <c r="U60" s="36"/>
      <c r="V60" s="36"/>
      <c r="W60" s="36"/>
      <c r="X60" s="36"/>
      <c r="Y60" s="36"/>
      <c r="Z60" s="36"/>
      <c r="AA60" s="36"/>
      <c r="AB60" s="36"/>
      <c r="AC60" s="36"/>
      <c r="AD60" s="36"/>
      <c r="AE60" s="36"/>
      <c r="AF60" s="36"/>
      <c r="AG60" s="36"/>
      <c r="AH60" s="32"/>
      <c r="AI60" s="32"/>
      <c r="AJ60" s="32"/>
      <c r="AK60" s="32"/>
      <c r="AL60" s="32"/>
      <c r="AM60" s="32"/>
      <c r="AN60" s="32"/>
      <c r="AO60" s="32"/>
      <c r="AP60" s="32"/>
      <c r="AQ60" s="32"/>
      <c r="AR60" s="32"/>
      <c r="AS60" s="36"/>
      <c r="AT60" s="26"/>
      <c r="BF60" s="46"/>
      <c r="BG60" s="26"/>
      <c r="BS60" s="45"/>
      <c r="BT60" s="38"/>
      <c r="BU60" s="44"/>
      <c r="BV60" s="44"/>
      <c r="BW60" s="44"/>
      <c r="BX60" s="44"/>
      <c r="BY60" s="44"/>
      <c r="BZ60" s="44"/>
      <c r="CA60" s="44"/>
      <c r="CB60" s="44"/>
      <c r="CC60" s="44"/>
      <c r="CD60" s="44"/>
      <c r="CE60" s="44"/>
      <c r="CF60" s="26"/>
      <c r="CG60" s="38"/>
      <c r="CH60" s="44"/>
      <c r="CI60" s="44"/>
      <c r="CJ60" s="44"/>
      <c r="CK60" s="44"/>
      <c r="CL60" s="44"/>
      <c r="CM60" s="44"/>
      <c r="CN60" s="44"/>
      <c r="CO60" s="44"/>
      <c r="CP60" s="44"/>
      <c r="CQ60" s="44"/>
      <c r="CR60" s="44"/>
      <c r="CS60" s="26"/>
    </row>
    <row r="61" spans="1:97" x14ac:dyDescent="0.15">
      <c r="A61" s="22" t="s">
        <v>2</v>
      </c>
      <c r="B61" s="22" t="s">
        <v>28</v>
      </c>
      <c r="D61" s="25">
        <v>20</v>
      </c>
      <c r="E61" s="47">
        <v>19123</v>
      </c>
      <c r="F61" s="47">
        <v>21838</v>
      </c>
      <c r="G61" s="52">
        <v>1739.5884013500549</v>
      </c>
      <c r="H61" s="52">
        <v>1739.5884013500549</v>
      </c>
      <c r="I61" s="52">
        <v>1739.5884013500549</v>
      </c>
      <c r="J61" s="52">
        <v>1739.5884013500549</v>
      </c>
      <c r="K61" s="52">
        <v>1739.5884013500549</v>
      </c>
      <c r="L61" s="52">
        <v>1739.5884013500549</v>
      </c>
      <c r="M61" s="52">
        <v>1739.5884013500549</v>
      </c>
      <c r="N61" s="52">
        <v>1739.5884013500549</v>
      </c>
      <c r="O61" s="52">
        <v>1739.5884013500549</v>
      </c>
      <c r="P61" s="52">
        <v>1989.6235302365046</v>
      </c>
      <c r="Q61" s="52">
        <v>1989.6235302365046</v>
      </c>
      <c r="R61" s="52">
        <v>1989.6235302365046</v>
      </c>
      <c r="S61" s="47">
        <f t="shared" ref="S61:S66" si="95">SUM(G61:R61)</f>
        <v>21625.166202860008</v>
      </c>
      <c r="T61" s="52">
        <v>1381.3232126603245</v>
      </c>
      <c r="U61" s="52">
        <v>1381.3232126603245</v>
      </c>
      <c r="V61" s="52">
        <v>1381.3232126603245</v>
      </c>
      <c r="W61" s="52">
        <v>1381.3232126603245</v>
      </c>
      <c r="X61" s="52">
        <v>1381.3232126603245</v>
      </c>
      <c r="Y61" s="52">
        <v>1381.3232126603245</v>
      </c>
      <c r="Z61" s="52">
        <v>1381.3232126603245</v>
      </c>
      <c r="AA61" s="52">
        <v>1381.3232126603245</v>
      </c>
      <c r="AB61" s="52">
        <v>1381.3232126603245</v>
      </c>
      <c r="AC61" s="52">
        <v>1855.0987756233378</v>
      </c>
      <c r="AD61" s="52">
        <v>1855.0987756233378</v>
      </c>
      <c r="AE61" s="52">
        <v>1855.0987756233378</v>
      </c>
      <c r="AF61" s="47">
        <f t="shared" ref="AF61:AF66" si="96">SUM(T61:AE61)</f>
        <v>17997.205240812935</v>
      </c>
      <c r="AG61" s="52">
        <v>1398.7897323606414</v>
      </c>
      <c r="AH61" s="52">
        <v>1398.7897323606414</v>
      </c>
      <c r="AI61" s="52">
        <v>1398.7897323606414</v>
      </c>
      <c r="AJ61" s="52">
        <v>1398.7897323606414</v>
      </c>
      <c r="AK61" s="52">
        <v>1398.7897323606414</v>
      </c>
      <c r="AL61" s="52">
        <v>1398.7897323606414</v>
      </c>
      <c r="AM61" s="52">
        <v>1398.7897323606414</v>
      </c>
      <c r="AN61" s="52">
        <v>1398.7897323606414</v>
      </c>
      <c r="AO61" s="52">
        <v>1398.7897323606414</v>
      </c>
      <c r="AP61" s="52">
        <v>1684.8041597252161</v>
      </c>
      <c r="AQ61" s="52">
        <v>1684.8041597252161</v>
      </c>
      <c r="AR61" s="52">
        <v>1684.8041597252161</v>
      </c>
      <c r="AS61" s="47">
        <f t="shared" ref="AS61:AS66" si="97">SUM(AG61:AR61)</f>
        <v>17643.520070421422</v>
      </c>
      <c r="AT61" s="39">
        <v>1588.2545264799912</v>
      </c>
      <c r="AU61" s="39">
        <v>1588.2545264799912</v>
      </c>
      <c r="AV61" s="39">
        <v>1588.2545264799912</v>
      </c>
      <c r="AW61" s="39">
        <v>1519.1683449596092</v>
      </c>
      <c r="AX61" s="39">
        <v>1519.1683449596092</v>
      </c>
      <c r="AY61" s="39">
        <v>1519.1683449596092</v>
      </c>
      <c r="AZ61" s="39">
        <v>621.89690843157598</v>
      </c>
      <c r="BA61" s="39">
        <v>621.89690843157598</v>
      </c>
      <c r="BB61" s="39">
        <v>621.89690843157598</v>
      </c>
      <c r="BC61" s="39">
        <v>1674.4000225712346</v>
      </c>
      <c r="BD61" s="39">
        <v>1674.4000225712346</v>
      </c>
      <c r="BE61" s="39">
        <v>1674.4000225712346</v>
      </c>
      <c r="BF61" s="56">
        <f t="shared" ref="BF61:BF66" si="98">SUM(AT61:BE61)</f>
        <v>16211.159407327235</v>
      </c>
      <c r="BG61" s="39">
        <v>1612.1860767784503</v>
      </c>
      <c r="BH61" s="39">
        <v>1612.1860767784503</v>
      </c>
      <c r="BI61" s="39">
        <v>1612.1860767784503</v>
      </c>
      <c r="BJ61" s="39">
        <v>1552.8018751087945</v>
      </c>
      <c r="BK61" s="39">
        <v>1552.8018751087945</v>
      </c>
      <c r="BL61" s="39">
        <v>1552.8018751087945</v>
      </c>
      <c r="BM61" s="39">
        <v>603.94824570773176</v>
      </c>
      <c r="BN61" s="39">
        <v>603.94824570773176</v>
      </c>
      <c r="BO61" s="39">
        <v>603.94824570773176</v>
      </c>
      <c r="BP61" s="39">
        <v>1690.2061647447101</v>
      </c>
      <c r="BQ61" s="39">
        <v>1690.2061647447101</v>
      </c>
      <c r="BR61" s="39">
        <v>1690.2061647447101</v>
      </c>
      <c r="BS61" s="55">
        <f t="shared" ref="BS61:BS66" si="99">SUM(BG61:BR61)</f>
        <v>16377.427087019061</v>
      </c>
      <c r="BT61" s="39">
        <v>1562.545012645732</v>
      </c>
      <c r="BU61" s="39">
        <v>1562.545012645732</v>
      </c>
      <c r="BV61" s="39">
        <v>1562.545012645732</v>
      </c>
      <c r="BW61" s="39">
        <v>1490.97154707903</v>
      </c>
      <c r="BX61" s="39">
        <v>1490.97154707903</v>
      </c>
      <c r="BY61" s="39">
        <v>1490.97154707903</v>
      </c>
      <c r="BZ61" s="39">
        <v>575.14946462439991</v>
      </c>
      <c r="CA61" s="39">
        <v>575.14946462439991</v>
      </c>
      <c r="CB61" s="39">
        <v>575.14946462439991</v>
      </c>
      <c r="CC61" s="39">
        <v>1624.7642454566997</v>
      </c>
      <c r="CD61" s="39">
        <v>1624.7642454566997</v>
      </c>
      <c r="CE61" s="39">
        <v>1624.7642454566997</v>
      </c>
      <c r="CF61" s="54">
        <f t="shared" ref="CF61:CF66" si="100">SUM(BT61:CE61)</f>
        <v>15760.290809417582</v>
      </c>
      <c r="CG61" s="38">
        <v>1612.1860767784503</v>
      </c>
      <c r="CH61" s="38">
        <v>1612.1860767784503</v>
      </c>
      <c r="CI61" s="38">
        <v>1612.1860767784503</v>
      </c>
      <c r="CJ61" s="38">
        <v>1552.8018751087945</v>
      </c>
      <c r="CK61" s="38">
        <v>1552.8018751087945</v>
      </c>
      <c r="CL61" s="38">
        <v>1552.8018751087945</v>
      </c>
      <c r="CM61" s="38">
        <f t="shared" ref="CM61:CR61" si="101">$F$61/12</f>
        <v>1819.8333333333333</v>
      </c>
      <c r="CN61" s="38">
        <f t="shared" si="101"/>
        <v>1819.8333333333333</v>
      </c>
      <c r="CO61" s="38">
        <f t="shared" si="101"/>
        <v>1819.8333333333333</v>
      </c>
      <c r="CP61" s="38">
        <f t="shared" si="101"/>
        <v>1819.8333333333333</v>
      </c>
      <c r="CQ61" s="38">
        <f t="shared" si="101"/>
        <v>1819.8333333333333</v>
      </c>
      <c r="CR61" s="38">
        <f t="shared" si="101"/>
        <v>1819.8333333333333</v>
      </c>
      <c r="CS61" s="54">
        <f t="shared" ref="CS61:CS66" si="102">SUM(CG61:CR61)</f>
        <v>20413.963855661736</v>
      </c>
    </row>
    <row r="62" spans="1:97" x14ac:dyDescent="0.15">
      <c r="B62" s="22" t="s">
        <v>29</v>
      </c>
      <c r="D62" s="25">
        <v>20</v>
      </c>
      <c r="E62" s="47">
        <v>27049</v>
      </c>
      <c r="F62" s="47">
        <v>32728</v>
      </c>
      <c r="G62" s="52">
        <v>3021.7759127305312</v>
      </c>
      <c r="H62" s="52">
        <v>3021.7759127305312</v>
      </c>
      <c r="I62" s="52">
        <v>3021.7759127305312</v>
      </c>
      <c r="J62" s="52">
        <v>3021.7759127305312</v>
      </c>
      <c r="K62" s="52">
        <v>3021.7759127305312</v>
      </c>
      <c r="L62" s="52">
        <v>3021.7759127305312</v>
      </c>
      <c r="M62" s="52">
        <v>3021.7759127305312</v>
      </c>
      <c r="N62" s="52">
        <v>3021.7759127305312</v>
      </c>
      <c r="O62" s="52">
        <v>3021.7759127305312</v>
      </c>
      <c r="P62" s="52">
        <v>2848.8921976654037</v>
      </c>
      <c r="Q62" s="52">
        <v>2848.8921976654037</v>
      </c>
      <c r="R62" s="52">
        <v>2848.8921976654037</v>
      </c>
      <c r="S62" s="47">
        <f t="shared" si="95"/>
        <v>35742.659807570992</v>
      </c>
      <c r="T62" s="52">
        <v>2721.2488563323373</v>
      </c>
      <c r="U62" s="52">
        <v>2721.2488563323373</v>
      </c>
      <c r="V62" s="52">
        <v>2721.2488563323373</v>
      </c>
      <c r="W62" s="52">
        <v>2721.2488563323373</v>
      </c>
      <c r="X62" s="52">
        <v>2721.2488563323373</v>
      </c>
      <c r="Y62" s="52">
        <v>2721.2488563323373</v>
      </c>
      <c r="Z62" s="52">
        <v>2721.2488563323373</v>
      </c>
      <c r="AA62" s="52">
        <v>2721.2488563323373</v>
      </c>
      <c r="AB62" s="52">
        <v>2721.2488563323373</v>
      </c>
      <c r="AC62" s="52">
        <v>2781.1246468467357</v>
      </c>
      <c r="AD62" s="52">
        <v>2781.1246468467357</v>
      </c>
      <c r="AE62" s="52">
        <v>2781.1246468467357</v>
      </c>
      <c r="AF62" s="47">
        <f t="shared" si="96"/>
        <v>32834.613647531245</v>
      </c>
      <c r="AG62" s="52">
        <v>2783.502165891894</v>
      </c>
      <c r="AH62" s="52">
        <v>2783.502165891894</v>
      </c>
      <c r="AI62" s="52">
        <v>2783.502165891894</v>
      </c>
      <c r="AJ62" s="52">
        <v>2783.502165891894</v>
      </c>
      <c r="AK62" s="52">
        <v>2783.502165891894</v>
      </c>
      <c r="AL62" s="52">
        <v>2783.502165891894</v>
      </c>
      <c r="AM62" s="52">
        <v>2783.502165891894</v>
      </c>
      <c r="AN62" s="52">
        <v>2783.502165891894</v>
      </c>
      <c r="AO62" s="52">
        <v>2783.502165891894</v>
      </c>
      <c r="AP62" s="52">
        <v>2198.7671477016129</v>
      </c>
      <c r="AQ62" s="52">
        <v>2198.7671477016129</v>
      </c>
      <c r="AR62" s="52">
        <v>2198.7671477016129</v>
      </c>
      <c r="AS62" s="47">
        <f t="shared" si="97"/>
        <v>31647.82093613188</v>
      </c>
      <c r="AT62" s="39">
        <v>2193.1000925757548</v>
      </c>
      <c r="AU62" s="39">
        <v>2193.1000925757548</v>
      </c>
      <c r="AV62" s="39">
        <v>2193.1000925757548</v>
      </c>
      <c r="AW62" s="39">
        <v>2208.8467545670551</v>
      </c>
      <c r="AX62" s="39">
        <v>2208.8467545670551</v>
      </c>
      <c r="AY62" s="39">
        <v>2208.8467545670551</v>
      </c>
      <c r="AZ62" s="39">
        <v>2126.5783552057565</v>
      </c>
      <c r="BA62" s="39">
        <v>2126.5783552057565</v>
      </c>
      <c r="BB62" s="39">
        <v>2126.5783552057565</v>
      </c>
      <c r="BC62" s="39">
        <v>2108.3688824970063</v>
      </c>
      <c r="BD62" s="39">
        <v>2108.3688824970063</v>
      </c>
      <c r="BE62" s="39">
        <v>2108.3688824970063</v>
      </c>
      <c r="BF62" s="56">
        <f t="shared" si="98"/>
        <v>25910.682254536714</v>
      </c>
      <c r="BG62" s="39">
        <v>2214.3998219078908</v>
      </c>
      <c r="BH62" s="39">
        <v>2214.3998219078908</v>
      </c>
      <c r="BI62" s="39">
        <v>2214.3998219078908</v>
      </c>
      <c r="BJ62" s="39">
        <v>2223.720025641026</v>
      </c>
      <c r="BK62" s="39">
        <v>2223.720025641026</v>
      </c>
      <c r="BL62" s="39">
        <v>2223.720025641026</v>
      </c>
      <c r="BM62" s="39">
        <v>2133.4455660129338</v>
      </c>
      <c r="BN62" s="39">
        <v>2133.4455660129338</v>
      </c>
      <c r="BO62" s="39">
        <v>2133.4455660129338</v>
      </c>
      <c r="BP62" s="39">
        <v>2246.5010782655318</v>
      </c>
      <c r="BQ62" s="39">
        <v>2246.5010782655318</v>
      </c>
      <c r="BR62" s="39">
        <v>2246.5010782655318</v>
      </c>
      <c r="BS62" s="55">
        <f t="shared" si="99"/>
        <v>26454.199475482143</v>
      </c>
      <c r="BT62" s="39">
        <v>2286.2691066517245</v>
      </c>
      <c r="BU62" s="39">
        <v>2286.2691066517245</v>
      </c>
      <c r="BV62" s="39">
        <v>2286.2691066517245</v>
      </c>
      <c r="BW62" s="39">
        <v>2297.1630771181112</v>
      </c>
      <c r="BX62" s="39">
        <v>2297.1630771181112</v>
      </c>
      <c r="BY62" s="39">
        <v>2297.1630771181112</v>
      </c>
      <c r="BZ62" s="39">
        <v>2214.6803457081064</v>
      </c>
      <c r="CA62" s="39">
        <v>2214.6803457081064</v>
      </c>
      <c r="CB62" s="39">
        <v>2214.6803457081064</v>
      </c>
      <c r="CC62" s="39">
        <v>2321.5147399690236</v>
      </c>
      <c r="CD62" s="39">
        <v>2321.5147399690236</v>
      </c>
      <c r="CE62" s="39">
        <v>2321.5147399690236</v>
      </c>
      <c r="CF62" s="54">
        <f t="shared" si="100"/>
        <v>27358.881808340902</v>
      </c>
      <c r="CG62" s="38">
        <v>2214.3998219078908</v>
      </c>
      <c r="CH62" s="38">
        <v>2214.3998219078908</v>
      </c>
      <c r="CI62" s="38">
        <v>2214.3998219078908</v>
      </c>
      <c r="CJ62" s="38">
        <v>2223.720025641026</v>
      </c>
      <c r="CK62" s="38">
        <v>2223.720025641026</v>
      </c>
      <c r="CL62" s="38">
        <v>2223.720025641026</v>
      </c>
      <c r="CM62" s="38">
        <f t="shared" ref="CM62:CR62" si="103">$F$62/12</f>
        <v>2727.3333333333335</v>
      </c>
      <c r="CN62" s="38">
        <f t="shared" si="103"/>
        <v>2727.3333333333335</v>
      </c>
      <c r="CO62" s="38">
        <f t="shared" si="103"/>
        <v>2727.3333333333335</v>
      </c>
      <c r="CP62" s="38">
        <f t="shared" si="103"/>
        <v>2727.3333333333335</v>
      </c>
      <c r="CQ62" s="38">
        <f t="shared" si="103"/>
        <v>2727.3333333333335</v>
      </c>
      <c r="CR62" s="38">
        <f t="shared" si="103"/>
        <v>2727.3333333333335</v>
      </c>
      <c r="CS62" s="54">
        <f t="shared" si="102"/>
        <v>29678.359542646744</v>
      </c>
    </row>
    <row r="63" spans="1:97" x14ac:dyDescent="0.15">
      <c r="B63" s="22" t="s">
        <v>30</v>
      </c>
      <c r="D63" s="25">
        <v>21</v>
      </c>
      <c r="E63" s="47">
        <v>16700</v>
      </c>
      <c r="F63" s="47">
        <v>18700</v>
      </c>
      <c r="G63" s="52">
        <v>1246.4365330001199</v>
      </c>
      <c r="H63" s="52">
        <v>1246.4365330001199</v>
      </c>
      <c r="I63" s="52">
        <v>1246.4365330001199</v>
      </c>
      <c r="J63" s="52">
        <v>1246.4365330001199</v>
      </c>
      <c r="K63" s="52">
        <v>1246.4365330001199</v>
      </c>
      <c r="L63" s="52">
        <v>1246.4365330001199</v>
      </c>
      <c r="M63" s="52">
        <v>1246.4365330001199</v>
      </c>
      <c r="N63" s="52">
        <v>1246.4365330001199</v>
      </c>
      <c r="O63" s="52">
        <v>1246.4365330001199</v>
      </c>
      <c r="P63" s="52">
        <v>1246.4365330001199</v>
      </c>
      <c r="Q63" s="52">
        <v>1246.4365330001199</v>
      </c>
      <c r="R63" s="52">
        <v>1246.4365330001199</v>
      </c>
      <c r="S63" s="47">
        <f t="shared" si="95"/>
        <v>14957.238396001439</v>
      </c>
      <c r="T63" s="52">
        <v>1519.7608040922998</v>
      </c>
      <c r="U63" s="52">
        <v>1519.7608040922998</v>
      </c>
      <c r="V63" s="52">
        <v>1519.7608040922998</v>
      </c>
      <c r="W63" s="52">
        <v>1519.7608040922998</v>
      </c>
      <c r="X63" s="52">
        <v>1519.7608040922998</v>
      </c>
      <c r="Y63" s="52">
        <v>1519.7608040922998</v>
      </c>
      <c r="Z63" s="52">
        <v>1519.7608040922998</v>
      </c>
      <c r="AA63" s="52">
        <v>1519.7608040922998</v>
      </c>
      <c r="AB63" s="52">
        <v>1519.7608040922998</v>
      </c>
      <c r="AC63" s="52">
        <v>1519.7608040922998</v>
      </c>
      <c r="AD63" s="52">
        <v>1519.7608040922998</v>
      </c>
      <c r="AE63" s="52">
        <v>1519.7608040922998</v>
      </c>
      <c r="AF63" s="47">
        <f t="shared" si="96"/>
        <v>18237.129649107603</v>
      </c>
      <c r="AG63" s="52">
        <v>1758.9168299678267</v>
      </c>
      <c r="AH63" s="52">
        <v>1758.9168299678267</v>
      </c>
      <c r="AI63" s="52">
        <v>1758.9168299678267</v>
      </c>
      <c r="AJ63" s="52">
        <v>1758.9168299678267</v>
      </c>
      <c r="AK63" s="52">
        <v>1758.9168299678267</v>
      </c>
      <c r="AL63" s="52">
        <v>1758.9168299678267</v>
      </c>
      <c r="AM63" s="52">
        <v>1758.9168299678267</v>
      </c>
      <c r="AN63" s="52">
        <v>1758.9168299678267</v>
      </c>
      <c r="AO63" s="52">
        <v>1758.9168299678267</v>
      </c>
      <c r="AP63" s="52">
        <v>1681.3853235041183</v>
      </c>
      <c r="AQ63" s="52">
        <v>1368.8170844594229</v>
      </c>
      <c r="AR63" s="52">
        <v>1258.6882686497615</v>
      </c>
      <c r="AS63" s="47">
        <f t="shared" si="97"/>
        <v>20139.142146323749</v>
      </c>
      <c r="AT63" s="39">
        <v>1594.5446505620796</v>
      </c>
      <c r="AU63" s="39">
        <v>1357.6410384361409</v>
      </c>
      <c r="AV63" s="39">
        <v>1361.2155519188352</v>
      </c>
      <c r="AW63" s="39">
        <v>1365.1854721381644</v>
      </c>
      <c r="AX63" s="39">
        <v>1405.8561019330391</v>
      </c>
      <c r="AY63" s="39">
        <v>1346.4753964697525</v>
      </c>
      <c r="AZ63" s="39">
        <v>1124.2242918077134</v>
      </c>
      <c r="BA63" s="39">
        <v>1189.6617525045117</v>
      </c>
      <c r="BB63" s="39">
        <v>1248.0177895079726</v>
      </c>
      <c r="BC63" s="39">
        <v>1181.2585717893965</v>
      </c>
      <c r="BD63" s="39">
        <v>925.26378886178804</v>
      </c>
      <c r="BE63" s="39">
        <v>1131.3864447998676</v>
      </c>
      <c r="BF63" s="56">
        <f t="shared" si="98"/>
        <v>15230.73085072926</v>
      </c>
      <c r="BG63" s="39">
        <v>1284.3647823015735</v>
      </c>
      <c r="BH63" s="39">
        <v>1519.5298310112667</v>
      </c>
      <c r="BI63" s="39">
        <v>1707.2167706455687</v>
      </c>
      <c r="BJ63" s="39">
        <v>1709.6847092614134</v>
      </c>
      <c r="BK63" s="39">
        <v>1763.6025317525348</v>
      </c>
      <c r="BL63" s="39">
        <v>1496.637041058628</v>
      </c>
      <c r="BM63" s="39">
        <v>1402.7519575024248</v>
      </c>
      <c r="BN63" s="39">
        <v>1346.6184278194867</v>
      </c>
      <c r="BO63" s="39">
        <v>1236.0835382245589</v>
      </c>
      <c r="BP63" s="39">
        <v>1318.9487210535042</v>
      </c>
      <c r="BQ63" s="39">
        <v>1109.9835520376841</v>
      </c>
      <c r="BR63" s="39">
        <v>1288.5018942282918</v>
      </c>
      <c r="BS63" s="55">
        <f t="shared" si="99"/>
        <v>17183.923756896937</v>
      </c>
      <c r="BT63" s="39">
        <v>1695.3884941339063</v>
      </c>
      <c r="BU63" s="39">
        <v>1680.9526605119856</v>
      </c>
      <c r="BV63" s="39">
        <v>2132.4811595651731</v>
      </c>
      <c r="BW63" s="39">
        <v>1595.9523929204281</v>
      </c>
      <c r="BX63" s="39">
        <v>1747.5511199886696</v>
      </c>
      <c r="BY63" s="39">
        <v>1603.5435945276517</v>
      </c>
      <c r="BZ63" s="39">
        <v>1315.413674426957</v>
      </c>
      <c r="CA63" s="39">
        <v>1429.9202005800503</v>
      </c>
      <c r="CB63" s="39">
        <v>1339.0404498662986</v>
      </c>
      <c r="CC63" s="39">
        <v>1426.3121081814752</v>
      </c>
      <c r="CD63" s="39">
        <v>1127.4027662499986</v>
      </c>
      <c r="CE63" s="39">
        <v>1330.6569046178799</v>
      </c>
      <c r="CF63" s="54">
        <f t="shared" si="100"/>
        <v>18424.615525570476</v>
      </c>
      <c r="CG63" s="38">
        <v>0</v>
      </c>
      <c r="CH63" s="38">
        <v>0</v>
      </c>
      <c r="CI63" s="38">
        <v>0</v>
      </c>
      <c r="CJ63" s="38">
        <v>0</v>
      </c>
      <c r="CK63" s="38">
        <v>0</v>
      </c>
      <c r="CL63" s="38">
        <v>0</v>
      </c>
      <c r="CM63" s="38">
        <v>0</v>
      </c>
      <c r="CN63" s="38">
        <v>0</v>
      </c>
      <c r="CO63" s="38">
        <v>0</v>
      </c>
      <c r="CP63" s="38">
        <v>0</v>
      </c>
      <c r="CQ63" s="38">
        <v>0</v>
      </c>
      <c r="CR63" s="38">
        <v>0</v>
      </c>
      <c r="CS63" s="54">
        <f t="shared" si="102"/>
        <v>0</v>
      </c>
    </row>
    <row r="64" spans="1:97" x14ac:dyDescent="0.15">
      <c r="B64" s="22" t="s">
        <v>65</v>
      </c>
      <c r="D64" s="25">
        <v>24</v>
      </c>
      <c r="E64" s="47">
        <f t="shared" ref="E64:R64" si="104">SUM(E65:E66)</f>
        <v>16653.43</v>
      </c>
      <c r="F64" s="47">
        <f t="shared" si="104"/>
        <v>12560</v>
      </c>
      <c r="G64" s="36">
        <f t="shared" si="104"/>
        <v>1636.9311675239999</v>
      </c>
      <c r="H64" s="36">
        <f t="shared" si="104"/>
        <v>1234.534278631</v>
      </c>
      <c r="I64" s="36">
        <f t="shared" si="104"/>
        <v>1250.7873127750001</v>
      </c>
      <c r="J64" s="36">
        <f t="shared" si="104"/>
        <v>1158.171694051</v>
      </c>
      <c r="K64" s="36">
        <f t="shared" si="104"/>
        <v>1085.8649884260001</v>
      </c>
      <c r="L64" s="36">
        <f t="shared" si="104"/>
        <v>849.40031187400007</v>
      </c>
      <c r="M64" s="36">
        <f t="shared" si="104"/>
        <v>736.90600651399996</v>
      </c>
      <c r="N64" s="36">
        <f t="shared" si="104"/>
        <v>771.219722219</v>
      </c>
      <c r="O64" s="36">
        <f t="shared" si="104"/>
        <v>791.12934217400004</v>
      </c>
      <c r="P64" s="36">
        <f t="shared" si="104"/>
        <v>1031.5333273889999</v>
      </c>
      <c r="Q64" s="36">
        <f t="shared" si="104"/>
        <v>1302.7078855720001</v>
      </c>
      <c r="R64" s="36">
        <f t="shared" si="104"/>
        <v>1343.8722455520001</v>
      </c>
      <c r="S64" s="47">
        <f t="shared" si="95"/>
        <v>13193.058282701</v>
      </c>
      <c r="T64" s="36">
        <f t="shared" ref="T64:AE64" si="105">SUM(T65:T66)</f>
        <v>1660.8203389159999</v>
      </c>
      <c r="U64" s="36">
        <f t="shared" si="105"/>
        <v>1231.972194878</v>
      </c>
      <c r="V64" s="36">
        <f t="shared" si="105"/>
        <v>1240.0016454010001</v>
      </c>
      <c r="W64" s="36">
        <f t="shared" si="105"/>
        <v>1154.0471079980002</v>
      </c>
      <c r="X64" s="36">
        <f t="shared" si="105"/>
        <v>1089.5548479630002</v>
      </c>
      <c r="Y64" s="36">
        <f t="shared" si="105"/>
        <v>857.52615754800001</v>
      </c>
      <c r="Z64" s="36">
        <f t="shared" si="105"/>
        <v>812.29568638099988</v>
      </c>
      <c r="AA64" s="36">
        <f t="shared" si="105"/>
        <v>814.71696205799992</v>
      </c>
      <c r="AB64" s="36">
        <f t="shared" si="105"/>
        <v>762.15276732300003</v>
      </c>
      <c r="AC64" s="36">
        <f t="shared" si="105"/>
        <v>1117.9686057860001</v>
      </c>
      <c r="AD64" s="36">
        <f t="shared" si="105"/>
        <v>1230.282064772</v>
      </c>
      <c r="AE64" s="36">
        <f t="shared" si="105"/>
        <v>1557.922490121</v>
      </c>
      <c r="AF64" s="47">
        <f t="shared" si="96"/>
        <v>13529.260869144999</v>
      </c>
      <c r="AG64" s="36">
        <f t="shared" ref="AG64:AR64" si="106">SUM(AG65:AG66)</f>
        <v>1646.8020646089999</v>
      </c>
      <c r="AH64" s="36">
        <f t="shared" si="106"/>
        <v>1437.93709425</v>
      </c>
      <c r="AI64" s="36">
        <f t="shared" si="106"/>
        <v>1684.0459967550003</v>
      </c>
      <c r="AJ64" s="36">
        <f t="shared" si="106"/>
        <v>1378.1656134958514</v>
      </c>
      <c r="AK64" s="36">
        <f t="shared" si="106"/>
        <v>1122.5383713999997</v>
      </c>
      <c r="AL64" s="36">
        <f t="shared" si="106"/>
        <v>1090.6980854000001</v>
      </c>
      <c r="AM64" s="36">
        <f t="shared" si="106"/>
        <v>921.67342809999991</v>
      </c>
      <c r="AN64" s="36">
        <f t="shared" si="106"/>
        <v>809.1326307999999</v>
      </c>
      <c r="AO64" s="36">
        <f t="shared" si="106"/>
        <v>957.39533260000007</v>
      </c>
      <c r="AP64" s="36">
        <f t="shared" si="106"/>
        <v>1142.7917192</v>
      </c>
      <c r="AQ64" s="36">
        <f t="shared" si="106"/>
        <v>1262.8794727</v>
      </c>
      <c r="AR64" s="36">
        <f t="shared" si="106"/>
        <v>1894.5752426000001</v>
      </c>
      <c r="AS64" s="47">
        <f t="shared" si="97"/>
        <v>15348.635051909852</v>
      </c>
      <c r="AT64" s="26">
        <f t="shared" ref="AT64:BE64" si="107">SUM(AT65:AT66)</f>
        <v>1868.3722229</v>
      </c>
      <c r="AU64" s="26">
        <f t="shared" si="107"/>
        <v>1567.3370694999999</v>
      </c>
      <c r="AV64" s="26">
        <f t="shared" si="107"/>
        <v>1775.1950393000002</v>
      </c>
      <c r="AW64" s="26">
        <f t="shared" si="107"/>
        <v>1408.978576</v>
      </c>
      <c r="AX64" s="26">
        <f t="shared" si="107"/>
        <v>1140.2352422000001</v>
      </c>
      <c r="AY64" s="26">
        <f t="shared" si="107"/>
        <v>962.59308090000002</v>
      </c>
      <c r="AZ64" s="26">
        <f t="shared" si="107"/>
        <v>855.44128020000005</v>
      </c>
      <c r="BA64" s="26">
        <f t="shared" si="107"/>
        <v>892.89411619999998</v>
      </c>
      <c r="BB64" s="26">
        <f t="shared" si="107"/>
        <v>925.18677900000012</v>
      </c>
      <c r="BC64" s="26">
        <f t="shared" si="107"/>
        <v>1164.3047551</v>
      </c>
      <c r="BD64" s="26">
        <f t="shared" si="107"/>
        <v>1477.9459593000001</v>
      </c>
      <c r="BE64" s="26">
        <f t="shared" si="107"/>
        <v>1846.1484221000001</v>
      </c>
      <c r="BF64" s="56">
        <f t="shared" si="98"/>
        <v>15884.632542699997</v>
      </c>
      <c r="BG64" s="26">
        <f t="shared" ref="BG64:BR64" si="108">SUM(BG65:BG66)</f>
        <v>1327.3616151000001</v>
      </c>
      <c r="BH64" s="26">
        <f t="shared" si="108"/>
        <v>1321.9848984999999</v>
      </c>
      <c r="BI64" s="26">
        <f t="shared" si="108"/>
        <v>1504.0295664</v>
      </c>
      <c r="BJ64" s="26">
        <f t="shared" si="108"/>
        <v>1345.9152884999999</v>
      </c>
      <c r="BK64" s="26">
        <f t="shared" si="108"/>
        <v>1131.2853615000001</v>
      </c>
      <c r="BL64" s="26">
        <f t="shared" si="108"/>
        <v>1181.6406520999999</v>
      </c>
      <c r="BM64" s="26">
        <f t="shared" si="108"/>
        <v>836.71333729999992</v>
      </c>
      <c r="BN64" s="26">
        <f t="shared" si="108"/>
        <v>840.76890059999994</v>
      </c>
      <c r="BO64" s="26">
        <f t="shared" si="108"/>
        <v>876.97343330000001</v>
      </c>
      <c r="BP64" s="26">
        <f t="shared" si="108"/>
        <v>1011.5664494999999</v>
      </c>
      <c r="BQ64" s="26">
        <f t="shared" si="108"/>
        <v>1618.9434701</v>
      </c>
      <c r="BR64" s="26">
        <f t="shared" si="108"/>
        <v>1472.2746715999999</v>
      </c>
      <c r="BS64" s="55">
        <f t="shared" si="99"/>
        <v>14469.457644500002</v>
      </c>
      <c r="BT64" s="39">
        <v>1694.2562106999999</v>
      </c>
      <c r="BU64" s="39">
        <v>1509.9153595999999</v>
      </c>
      <c r="BV64" s="39">
        <v>1516.2359428</v>
      </c>
      <c r="BW64" s="39">
        <v>1370.6929590999998</v>
      </c>
      <c r="BX64" s="39">
        <v>1248.7119467</v>
      </c>
      <c r="BY64" s="39">
        <v>1012.8045010999999</v>
      </c>
      <c r="BZ64" s="39">
        <v>825.53803999999991</v>
      </c>
      <c r="CA64" s="39">
        <v>960.71838809999997</v>
      </c>
      <c r="CB64" s="39">
        <v>926.52709000000004</v>
      </c>
      <c r="CC64" s="39">
        <v>1126.0577699</v>
      </c>
      <c r="CD64" s="39">
        <v>1411.1737678</v>
      </c>
      <c r="CE64" s="39">
        <v>1522.8843141000002</v>
      </c>
      <c r="CF64" s="54">
        <f t="shared" si="100"/>
        <v>15125.516289899999</v>
      </c>
      <c r="CG64" s="38">
        <f t="shared" ref="CG64:CR64" si="109">SUM(CG65:CG66)</f>
        <v>0</v>
      </c>
      <c r="CH64" s="38">
        <f t="shared" si="109"/>
        <v>0</v>
      </c>
      <c r="CI64" s="38">
        <f t="shared" si="109"/>
        <v>0</v>
      </c>
      <c r="CJ64" s="38">
        <f t="shared" si="109"/>
        <v>0</v>
      </c>
      <c r="CK64" s="38">
        <f t="shared" si="109"/>
        <v>0</v>
      </c>
      <c r="CL64" s="38">
        <f t="shared" si="109"/>
        <v>0</v>
      </c>
      <c r="CM64" s="38">
        <f t="shared" si="109"/>
        <v>0</v>
      </c>
      <c r="CN64" s="38">
        <f t="shared" si="109"/>
        <v>0</v>
      </c>
      <c r="CO64" s="38">
        <f t="shared" si="109"/>
        <v>0</v>
      </c>
      <c r="CP64" s="38">
        <f t="shared" si="109"/>
        <v>0</v>
      </c>
      <c r="CQ64" s="38">
        <f t="shared" si="109"/>
        <v>0</v>
      </c>
      <c r="CR64" s="38">
        <f t="shared" si="109"/>
        <v>0</v>
      </c>
      <c r="CS64" s="54">
        <f t="shared" si="102"/>
        <v>0</v>
      </c>
    </row>
    <row r="65" spans="1:97" x14ac:dyDescent="0.15">
      <c r="B65" s="22" t="s">
        <v>31</v>
      </c>
      <c r="D65" s="25"/>
      <c r="E65" s="47">
        <f>73+5.12+3.31+1768+13244</f>
        <v>15093.43</v>
      </c>
      <c r="F65" s="47">
        <f>73+5+3+11176</f>
        <v>11257</v>
      </c>
      <c r="G65" s="36">
        <v>1520.9918462999999</v>
      </c>
      <c r="H65" s="36">
        <v>1123.1853693</v>
      </c>
      <c r="I65" s="36">
        <v>1146.0550613</v>
      </c>
      <c r="J65" s="36">
        <v>1059.9142763</v>
      </c>
      <c r="K65" s="36">
        <v>987.64940130000002</v>
      </c>
      <c r="L65" s="36">
        <v>773.12614630000007</v>
      </c>
      <c r="M65" s="36">
        <v>665.73777529999995</v>
      </c>
      <c r="N65" s="36">
        <v>694.11008509999999</v>
      </c>
      <c r="O65" s="36">
        <v>714.34862420000002</v>
      </c>
      <c r="P65" s="36">
        <v>939.99347639999996</v>
      </c>
      <c r="Q65" s="36">
        <v>1179.5880713000001</v>
      </c>
      <c r="R65" s="36">
        <v>1235.1974275</v>
      </c>
      <c r="S65" s="47">
        <f t="shared" si="95"/>
        <v>12039.897560600002</v>
      </c>
      <c r="T65" s="36">
        <v>1520.2566812999999</v>
      </c>
      <c r="U65" s="36">
        <v>1123.8267283</v>
      </c>
      <c r="V65" s="36">
        <v>1143.8374453000001</v>
      </c>
      <c r="W65" s="36">
        <v>1059.3783173000002</v>
      </c>
      <c r="X65" s="36">
        <v>986.72109080000007</v>
      </c>
      <c r="Y65" s="36">
        <v>771.81449599999996</v>
      </c>
      <c r="Z65" s="36">
        <v>720.49555219999991</v>
      </c>
      <c r="AA65" s="36">
        <v>733.68372719999991</v>
      </c>
      <c r="AB65" s="36">
        <v>677.82752419999997</v>
      </c>
      <c r="AC65" s="36">
        <v>1024.5178470000001</v>
      </c>
      <c r="AD65" s="36">
        <v>1111.7934737999999</v>
      </c>
      <c r="AE65" s="36">
        <v>1449.0768466</v>
      </c>
      <c r="AF65" s="47">
        <f t="shared" si="96"/>
        <v>12323.229730000003</v>
      </c>
      <c r="AG65" s="36">
        <v>1541.9925854999999</v>
      </c>
      <c r="AH65" s="36">
        <v>1341.5941425999999</v>
      </c>
      <c r="AI65" s="36">
        <v>1592.0622758000002</v>
      </c>
      <c r="AJ65" s="36">
        <v>1283.4900940618513</v>
      </c>
      <c r="AK65" s="36">
        <v>1040.3737486999999</v>
      </c>
      <c r="AL65" s="36">
        <v>1014.8944054</v>
      </c>
      <c r="AM65" s="36">
        <v>850.57496219999996</v>
      </c>
      <c r="AN65" s="36">
        <v>748.32420879999995</v>
      </c>
      <c r="AO65" s="36">
        <v>878.27371330000005</v>
      </c>
      <c r="AP65" s="36">
        <v>1051.365335</v>
      </c>
      <c r="AQ65" s="36">
        <v>1183.2770713</v>
      </c>
      <c r="AR65" s="36">
        <v>1790.9599281000001</v>
      </c>
      <c r="AS65" s="47">
        <f t="shared" si="97"/>
        <v>14317.182470761854</v>
      </c>
      <c r="AT65" s="26">
        <v>1775.6027792</v>
      </c>
      <c r="AU65" s="26">
        <v>1481.8210956999999</v>
      </c>
      <c r="AV65" s="26">
        <v>1685.6653808000001</v>
      </c>
      <c r="AW65" s="26">
        <v>1331.3669170999999</v>
      </c>
      <c r="AX65" s="26">
        <v>1067.9478116</v>
      </c>
      <c r="AY65" s="26">
        <v>892.01460589999999</v>
      </c>
      <c r="AZ65" s="26">
        <v>788.5075372</v>
      </c>
      <c r="BA65" s="26">
        <v>824.59428379999997</v>
      </c>
      <c r="BB65" s="26">
        <v>848.39281330000006</v>
      </c>
      <c r="BC65" s="26">
        <v>1085.673035</v>
      </c>
      <c r="BD65" s="26">
        <v>1376.3039963000001</v>
      </c>
      <c r="BE65" s="26">
        <v>1744.4785280999999</v>
      </c>
      <c r="BF65" s="56">
        <f t="shared" si="98"/>
        <v>14902.368783999998</v>
      </c>
      <c r="BG65" s="26">
        <v>1236.2055292</v>
      </c>
      <c r="BH65" s="26">
        <v>1224.3995706999999</v>
      </c>
      <c r="BI65" s="26">
        <v>1432.2480558</v>
      </c>
      <c r="BJ65" s="26">
        <v>1237.8891420999998</v>
      </c>
      <c r="BK65" s="26">
        <v>1047.1215116000001</v>
      </c>
      <c r="BL65" s="26">
        <v>1108.7351558999999</v>
      </c>
      <c r="BM65" s="26">
        <v>764.3054871999999</v>
      </c>
      <c r="BN65" s="26">
        <v>776.68390879999993</v>
      </c>
      <c r="BO65" s="26">
        <v>808.36593830000004</v>
      </c>
      <c r="BP65" s="26">
        <v>941.61325999999985</v>
      </c>
      <c r="BQ65" s="26">
        <v>1525.6805962999999</v>
      </c>
      <c r="BR65" s="26">
        <v>1374.2181530999999</v>
      </c>
      <c r="BS65" s="55">
        <f t="shared" si="99"/>
        <v>13477.466309000001</v>
      </c>
      <c r="BT65" s="39">
        <v>1603.3305291999998</v>
      </c>
      <c r="BU65" s="39">
        <v>1417.9745707</v>
      </c>
      <c r="BV65" s="39">
        <v>1433.1380558000001</v>
      </c>
      <c r="BW65" s="39">
        <v>1287.2841420999998</v>
      </c>
      <c r="BX65" s="39">
        <v>1165.3135116000001</v>
      </c>
      <c r="BY65" s="39">
        <v>936.16415589999997</v>
      </c>
      <c r="BZ65" s="39">
        <v>764.75048719999995</v>
      </c>
      <c r="CA65" s="39">
        <v>893.09590879999996</v>
      </c>
      <c r="CB65" s="39">
        <v>857.04893830000003</v>
      </c>
      <c r="CC65" s="39">
        <v>1043.6962599999999</v>
      </c>
      <c r="CD65" s="39">
        <v>1297.1285963</v>
      </c>
      <c r="CE65" s="39">
        <v>1416.6711531000001</v>
      </c>
      <c r="CF65" s="54">
        <f t="shared" si="100"/>
        <v>14115.596309</v>
      </c>
      <c r="CG65" s="38">
        <v>0</v>
      </c>
      <c r="CH65" s="38">
        <v>0</v>
      </c>
      <c r="CI65" s="38">
        <v>0</v>
      </c>
      <c r="CJ65" s="38">
        <v>0</v>
      </c>
      <c r="CK65" s="38">
        <v>0</v>
      </c>
      <c r="CL65" s="38">
        <v>0</v>
      </c>
      <c r="CM65" s="38">
        <v>0</v>
      </c>
      <c r="CN65" s="38">
        <v>0</v>
      </c>
      <c r="CO65" s="38">
        <v>0</v>
      </c>
      <c r="CP65" s="38">
        <v>0</v>
      </c>
      <c r="CQ65" s="38">
        <v>0</v>
      </c>
      <c r="CR65" s="38">
        <v>0</v>
      </c>
      <c r="CS65" s="54">
        <f t="shared" si="102"/>
        <v>0</v>
      </c>
    </row>
    <row r="66" spans="1:97" x14ac:dyDescent="0.15">
      <c r="B66" s="22" t="s">
        <v>32</v>
      </c>
      <c r="D66" s="25"/>
      <c r="E66" s="47">
        <v>1560</v>
      </c>
      <c r="F66" s="47">
        <v>1303</v>
      </c>
      <c r="G66" s="36">
        <v>115.93932122400001</v>
      </c>
      <c r="H66" s="36">
        <v>111.34890933100002</v>
      </c>
      <c r="I66" s="36">
        <v>104.73225147500001</v>
      </c>
      <c r="J66" s="36">
        <v>98.25741775100002</v>
      </c>
      <c r="K66" s="36">
        <v>98.215587126000017</v>
      </c>
      <c r="L66" s="36">
        <v>76.274165573999994</v>
      </c>
      <c r="M66" s="36">
        <v>71.168231214000002</v>
      </c>
      <c r="N66" s="36">
        <v>77.109637118999999</v>
      </c>
      <c r="O66" s="36">
        <v>76.780717974000012</v>
      </c>
      <c r="P66" s="36">
        <v>91.539850988999987</v>
      </c>
      <c r="Q66" s="36">
        <v>123.11981427200001</v>
      </c>
      <c r="R66" s="36">
        <v>108.67481805199999</v>
      </c>
      <c r="S66" s="47">
        <f t="shared" si="95"/>
        <v>1153.1607221010004</v>
      </c>
      <c r="T66" s="36">
        <v>140.56365761600003</v>
      </c>
      <c r="U66" s="36">
        <v>108.14546657800001</v>
      </c>
      <c r="V66" s="36">
        <v>96.164200100999992</v>
      </c>
      <c r="W66" s="36">
        <v>94.668790697999995</v>
      </c>
      <c r="X66" s="36">
        <v>102.83375716299999</v>
      </c>
      <c r="Y66" s="36">
        <v>85.711661548000009</v>
      </c>
      <c r="Z66" s="36">
        <v>91.80013418099999</v>
      </c>
      <c r="AA66" s="36">
        <v>81.033234858</v>
      </c>
      <c r="AB66" s="36">
        <v>84.325243123000007</v>
      </c>
      <c r="AC66" s="36">
        <v>93.450758785999994</v>
      </c>
      <c r="AD66" s="36">
        <v>118.48859097200001</v>
      </c>
      <c r="AE66" s="36">
        <v>108.845643521</v>
      </c>
      <c r="AF66" s="47">
        <f t="shared" si="96"/>
        <v>1206.0311391450002</v>
      </c>
      <c r="AG66" s="36">
        <v>104.80947910900001</v>
      </c>
      <c r="AH66" s="36">
        <v>96.342951649999989</v>
      </c>
      <c r="AI66" s="36">
        <v>91.98372095500001</v>
      </c>
      <c r="AJ66" s="36">
        <v>94.675519434000009</v>
      </c>
      <c r="AK66" s="36">
        <v>82.164622699999981</v>
      </c>
      <c r="AL66" s="36">
        <v>75.80368</v>
      </c>
      <c r="AM66" s="36">
        <v>71.098465900000008</v>
      </c>
      <c r="AN66" s="36">
        <v>60.808422</v>
      </c>
      <c r="AO66" s="36">
        <v>79.121619300000006</v>
      </c>
      <c r="AP66" s="36">
        <v>91.426384199999987</v>
      </c>
      <c r="AQ66" s="36">
        <v>79.602401400000005</v>
      </c>
      <c r="AR66" s="36">
        <v>103.6153145</v>
      </c>
      <c r="AS66" s="47">
        <f t="shared" si="97"/>
        <v>1031.452581148</v>
      </c>
      <c r="AT66" s="26">
        <v>92.769443699999982</v>
      </c>
      <c r="AU66" s="26">
        <v>85.515973800000012</v>
      </c>
      <c r="AV66" s="26">
        <v>89.529658499999996</v>
      </c>
      <c r="AW66" s="26">
        <v>77.611658900000009</v>
      </c>
      <c r="AX66" s="26">
        <v>72.287430600000008</v>
      </c>
      <c r="AY66" s="26">
        <v>70.578474999999997</v>
      </c>
      <c r="AZ66" s="26">
        <v>66.933743000000021</v>
      </c>
      <c r="BA66" s="26">
        <v>68.2998324</v>
      </c>
      <c r="BB66" s="26">
        <v>76.793965700000001</v>
      </c>
      <c r="BC66" s="26">
        <v>78.63172010000001</v>
      </c>
      <c r="BD66" s="26">
        <v>101.64196300000002</v>
      </c>
      <c r="BE66" s="26">
        <v>101.669894</v>
      </c>
      <c r="BF66" s="56">
        <f t="shared" si="98"/>
        <v>982.26375870000015</v>
      </c>
      <c r="BG66" s="26">
        <v>91.156085900000022</v>
      </c>
      <c r="BH66" s="26">
        <v>97.585327800000016</v>
      </c>
      <c r="BI66" s="26">
        <v>71.781510600000004</v>
      </c>
      <c r="BJ66" s="26">
        <v>108.02614640000002</v>
      </c>
      <c r="BK66" s="26">
        <v>84.163849899999988</v>
      </c>
      <c r="BL66" s="26">
        <v>72.905496200000002</v>
      </c>
      <c r="BM66" s="26">
        <v>72.407850100000005</v>
      </c>
      <c r="BN66" s="26">
        <v>64.084991799999997</v>
      </c>
      <c r="BO66" s="26">
        <v>68.607495</v>
      </c>
      <c r="BP66" s="26">
        <v>69.953189499999993</v>
      </c>
      <c r="BQ66" s="26">
        <v>93.262873800000008</v>
      </c>
      <c r="BR66" s="26">
        <v>98.056518499999996</v>
      </c>
      <c r="BS66" s="55">
        <f t="shared" si="99"/>
        <v>991.9913355000001</v>
      </c>
      <c r="BT66" s="39">
        <v>90.925681499999996</v>
      </c>
      <c r="BU66" s="39">
        <v>91.940788900000001</v>
      </c>
      <c r="BV66" s="39">
        <v>83.097887</v>
      </c>
      <c r="BW66" s="39">
        <v>83.408816999999999</v>
      </c>
      <c r="BX66" s="39">
        <v>83.398435100000015</v>
      </c>
      <c r="BY66" s="39">
        <v>76.640345199999985</v>
      </c>
      <c r="BZ66" s="39">
        <v>60.787552800000007</v>
      </c>
      <c r="CA66" s="39">
        <v>67.622479300000009</v>
      </c>
      <c r="CB66" s="39">
        <v>69.478151699999998</v>
      </c>
      <c r="CC66" s="39">
        <v>82.361509900000001</v>
      </c>
      <c r="CD66" s="39">
        <v>114.04517149999998</v>
      </c>
      <c r="CE66" s="39">
        <v>106.21316100000001</v>
      </c>
      <c r="CF66" s="54">
        <f t="shared" si="100"/>
        <v>1009.9199809</v>
      </c>
      <c r="CG66" s="38">
        <v>0</v>
      </c>
      <c r="CH66" s="38">
        <v>0</v>
      </c>
      <c r="CI66" s="38">
        <v>0</v>
      </c>
      <c r="CJ66" s="38">
        <v>0</v>
      </c>
      <c r="CK66" s="38">
        <v>0</v>
      </c>
      <c r="CL66" s="38">
        <v>0</v>
      </c>
      <c r="CM66" s="38">
        <v>0</v>
      </c>
      <c r="CN66" s="38">
        <v>0</v>
      </c>
      <c r="CO66" s="38">
        <v>0</v>
      </c>
      <c r="CP66" s="38">
        <v>0</v>
      </c>
      <c r="CQ66" s="38">
        <v>0</v>
      </c>
      <c r="CR66" s="38">
        <v>0</v>
      </c>
      <c r="CS66" s="54">
        <f t="shared" si="102"/>
        <v>0</v>
      </c>
    </row>
    <row r="67" spans="1:97" x14ac:dyDescent="0.15">
      <c r="D67" s="25"/>
      <c r="E67" s="47"/>
      <c r="F67" s="47"/>
      <c r="G67" s="36"/>
      <c r="H67" s="36"/>
      <c r="I67" s="36"/>
      <c r="J67" s="36"/>
      <c r="K67" s="36"/>
      <c r="L67" s="36"/>
      <c r="M67" s="36"/>
      <c r="N67" s="36"/>
      <c r="O67" s="36"/>
      <c r="P67" s="36"/>
      <c r="Q67" s="36"/>
      <c r="R67" s="36"/>
      <c r="S67" s="47"/>
      <c r="T67" s="36"/>
      <c r="U67" s="36"/>
      <c r="V67" s="36"/>
      <c r="W67" s="36"/>
      <c r="X67" s="36"/>
      <c r="Y67" s="36"/>
      <c r="Z67" s="36"/>
      <c r="AA67" s="36"/>
      <c r="AB67" s="36"/>
      <c r="AC67" s="36"/>
      <c r="AD67" s="36"/>
      <c r="AE67" s="36"/>
      <c r="AF67" s="47"/>
      <c r="AG67" s="36"/>
      <c r="AH67" s="36"/>
      <c r="AI67" s="36"/>
      <c r="AJ67" s="36"/>
      <c r="AK67" s="32"/>
      <c r="AL67" s="32"/>
      <c r="AM67" s="32"/>
      <c r="AN67" s="32"/>
      <c r="AO67" s="32"/>
      <c r="AP67" s="32"/>
      <c r="AQ67" s="32"/>
      <c r="AR67" s="32"/>
      <c r="AS67" s="47"/>
      <c r="AT67" s="26"/>
      <c r="AU67" s="26"/>
      <c r="AV67" s="26"/>
      <c r="AW67" s="26"/>
      <c r="BF67" s="56"/>
      <c r="BG67" s="26"/>
      <c r="BH67" s="26"/>
      <c r="BI67" s="26"/>
      <c r="BJ67" s="26"/>
      <c r="BS67" s="55"/>
      <c r="BT67" s="38"/>
      <c r="BU67" s="38"/>
      <c r="BV67" s="38"/>
      <c r="BW67" s="38"/>
      <c r="BX67" s="44"/>
      <c r="BY67" s="44"/>
      <c r="BZ67" s="44"/>
      <c r="CA67" s="44"/>
      <c r="CB67" s="44"/>
      <c r="CC67" s="44"/>
      <c r="CD67" s="44"/>
      <c r="CE67" s="44"/>
      <c r="CF67" s="54"/>
      <c r="CG67" s="38"/>
      <c r="CH67" s="38"/>
      <c r="CI67" s="38"/>
      <c r="CJ67" s="38"/>
      <c r="CK67" s="44"/>
      <c r="CL67" s="44"/>
      <c r="CM67" s="44"/>
      <c r="CN67" s="44"/>
      <c r="CO67" s="44"/>
      <c r="CP67" s="44"/>
      <c r="CQ67" s="44"/>
      <c r="CR67" s="44"/>
      <c r="CS67" s="54"/>
    </row>
    <row r="68" spans="1:97" x14ac:dyDescent="0.15">
      <c r="A68" s="22" t="s">
        <v>16</v>
      </c>
      <c r="B68" s="22" t="s">
        <v>33</v>
      </c>
      <c r="D68" s="59">
        <v>20</v>
      </c>
      <c r="E68" s="47">
        <f>1830+320</f>
        <v>2150</v>
      </c>
      <c r="F68" s="47">
        <f>1991</f>
        <v>1991</v>
      </c>
      <c r="G68" s="58">
        <f t="shared" ref="G68:R68" si="110">$F$68/12</f>
        <v>165.91666666666666</v>
      </c>
      <c r="H68" s="58">
        <f t="shared" si="110"/>
        <v>165.91666666666666</v>
      </c>
      <c r="I68" s="58">
        <f t="shared" si="110"/>
        <v>165.91666666666666</v>
      </c>
      <c r="J68" s="58">
        <f t="shared" si="110"/>
        <v>165.91666666666666</v>
      </c>
      <c r="K68" s="58">
        <f t="shared" si="110"/>
        <v>165.91666666666666</v>
      </c>
      <c r="L68" s="58">
        <f t="shared" si="110"/>
        <v>165.91666666666666</v>
      </c>
      <c r="M68" s="58">
        <f t="shared" si="110"/>
        <v>165.91666666666666</v>
      </c>
      <c r="N68" s="58">
        <f t="shared" si="110"/>
        <v>165.91666666666666</v>
      </c>
      <c r="O68" s="58">
        <f t="shared" si="110"/>
        <v>165.91666666666666</v>
      </c>
      <c r="P68" s="58">
        <f t="shared" si="110"/>
        <v>165.91666666666666</v>
      </c>
      <c r="Q68" s="58">
        <f t="shared" si="110"/>
        <v>165.91666666666666</v>
      </c>
      <c r="R68" s="58">
        <f t="shared" si="110"/>
        <v>165.91666666666666</v>
      </c>
      <c r="S68" s="47">
        <f>SUM(G68:R68)</f>
        <v>1991.0000000000002</v>
      </c>
      <c r="T68" s="58">
        <f t="shared" ref="T68:AE68" si="111">$F$68/12</f>
        <v>165.91666666666666</v>
      </c>
      <c r="U68" s="58">
        <f t="shared" si="111"/>
        <v>165.91666666666666</v>
      </c>
      <c r="V68" s="58">
        <f t="shared" si="111"/>
        <v>165.91666666666666</v>
      </c>
      <c r="W68" s="58">
        <f t="shared" si="111"/>
        <v>165.91666666666666</v>
      </c>
      <c r="X68" s="58">
        <f t="shared" si="111"/>
        <v>165.91666666666666</v>
      </c>
      <c r="Y68" s="58">
        <f t="shared" si="111"/>
        <v>165.91666666666666</v>
      </c>
      <c r="Z68" s="58">
        <f t="shared" si="111"/>
        <v>165.91666666666666</v>
      </c>
      <c r="AA68" s="58">
        <f t="shared" si="111"/>
        <v>165.91666666666666</v>
      </c>
      <c r="AB68" s="58">
        <f t="shared" si="111"/>
        <v>165.91666666666666</v>
      </c>
      <c r="AC68" s="58">
        <f t="shared" si="111"/>
        <v>165.91666666666666</v>
      </c>
      <c r="AD68" s="58">
        <f t="shared" si="111"/>
        <v>165.91666666666666</v>
      </c>
      <c r="AE68" s="58">
        <f t="shared" si="111"/>
        <v>165.91666666666666</v>
      </c>
      <c r="AF68" s="47">
        <f>SUM(T68:AE68)</f>
        <v>1991.0000000000002</v>
      </c>
      <c r="AG68" s="58">
        <f t="shared" ref="AG68:AR68" si="112">$F$68/12</f>
        <v>165.91666666666666</v>
      </c>
      <c r="AH68" s="58">
        <f t="shared" si="112"/>
        <v>165.91666666666666</v>
      </c>
      <c r="AI68" s="58">
        <f t="shared" si="112"/>
        <v>165.91666666666666</v>
      </c>
      <c r="AJ68" s="58">
        <f t="shared" si="112"/>
        <v>165.91666666666666</v>
      </c>
      <c r="AK68" s="58">
        <f t="shared" si="112"/>
        <v>165.91666666666666</v>
      </c>
      <c r="AL68" s="58">
        <f t="shared" si="112"/>
        <v>165.91666666666666</v>
      </c>
      <c r="AM68" s="58">
        <f t="shared" si="112"/>
        <v>165.91666666666666</v>
      </c>
      <c r="AN68" s="58">
        <f t="shared" si="112"/>
        <v>165.91666666666666</v>
      </c>
      <c r="AO68" s="58">
        <f t="shared" si="112"/>
        <v>165.91666666666666</v>
      </c>
      <c r="AP68" s="58">
        <f t="shared" si="112"/>
        <v>165.91666666666666</v>
      </c>
      <c r="AQ68" s="58">
        <f t="shared" si="112"/>
        <v>165.91666666666666</v>
      </c>
      <c r="AR68" s="58">
        <f t="shared" si="112"/>
        <v>165.91666666666666</v>
      </c>
      <c r="AS68" s="47">
        <f>SUM(AG68:AR68)</f>
        <v>1991.0000000000002</v>
      </c>
      <c r="AT68" s="57">
        <f t="shared" ref="AT68:BB68" si="113">$F$68/12</f>
        <v>165.91666666666666</v>
      </c>
      <c r="AU68" s="57">
        <f t="shared" si="113"/>
        <v>165.91666666666666</v>
      </c>
      <c r="AV68" s="57">
        <f t="shared" si="113"/>
        <v>165.91666666666666</v>
      </c>
      <c r="AW68" s="57">
        <f t="shared" si="113"/>
        <v>165.91666666666666</v>
      </c>
      <c r="AX68" s="57">
        <f t="shared" si="113"/>
        <v>165.91666666666666</v>
      </c>
      <c r="AY68" s="57">
        <f t="shared" si="113"/>
        <v>165.91666666666666</v>
      </c>
      <c r="AZ68" s="57">
        <f t="shared" si="113"/>
        <v>165.91666666666666</v>
      </c>
      <c r="BA68" s="57">
        <f t="shared" si="113"/>
        <v>165.91666666666666</v>
      </c>
      <c r="BB68" s="57">
        <f t="shared" si="113"/>
        <v>165.91666666666666</v>
      </c>
      <c r="BC68" s="39">
        <v>121.75894697476055</v>
      </c>
      <c r="BD68" s="39">
        <v>121.75894697476055</v>
      </c>
      <c r="BE68" s="39">
        <v>121.75894697476055</v>
      </c>
      <c r="BF68" s="56">
        <f>SUM(AT68:BE68)</f>
        <v>1858.5268409242819</v>
      </c>
      <c r="BG68" s="39">
        <v>169.71155489402327</v>
      </c>
      <c r="BH68" s="39">
        <v>169.71155489402327</v>
      </c>
      <c r="BI68" s="39">
        <v>169.71155489402327</v>
      </c>
      <c r="BJ68" s="39">
        <v>167.60945925969915</v>
      </c>
      <c r="BK68" s="39">
        <v>167.60945925969915</v>
      </c>
      <c r="BL68" s="39">
        <v>167.60945925969915</v>
      </c>
      <c r="BM68" s="39">
        <v>90.397869614333189</v>
      </c>
      <c r="BN68" s="39">
        <v>90.397869614333189</v>
      </c>
      <c r="BO68" s="39">
        <v>90.397869614333189</v>
      </c>
      <c r="BP68" s="39">
        <v>176.94761486602351</v>
      </c>
      <c r="BQ68" s="39">
        <v>176.94761486602351</v>
      </c>
      <c r="BR68" s="39">
        <v>176.94761486602351</v>
      </c>
      <c r="BS68" s="55">
        <f>SUM(BG68:BR68)</f>
        <v>1813.9994959022372</v>
      </c>
      <c r="BT68" s="39">
        <v>173.15098398256606</v>
      </c>
      <c r="BU68" s="39">
        <v>173.15098398256606</v>
      </c>
      <c r="BV68" s="39">
        <v>173.15098398256606</v>
      </c>
      <c r="BW68" s="39">
        <v>171.79248544957551</v>
      </c>
      <c r="BX68" s="39">
        <v>171.79248544957551</v>
      </c>
      <c r="BY68" s="39">
        <v>171.79248544957551</v>
      </c>
      <c r="BZ68" s="39">
        <v>93.698226924518693</v>
      </c>
      <c r="CA68" s="39">
        <v>93.698226924518693</v>
      </c>
      <c r="CB68" s="39">
        <v>93.698226924518693</v>
      </c>
      <c r="CC68" s="39">
        <v>184.09660073408998</v>
      </c>
      <c r="CD68" s="39">
        <v>184.09660073408998</v>
      </c>
      <c r="CE68" s="39">
        <v>184.09660073408998</v>
      </c>
      <c r="CF68" s="54">
        <f>SUM(BT68:CE68)</f>
        <v>1868.21489127225</v>
      </c>
      <c r="CG68" s="38">
        <v>0</v>
      </c>
      <c r="CH68" s="38">
        <v>0</v>
      </c>
      <c r="CI68" s="38">
        <v>0</v>
      </c>
      <c r="CJ68" s="38">
        <v>0</v>
      </c>
      <c r="CK68" s="38">
        <v>0</v>
      </c>
      <c r="CL68" s="38">
        <v>0</v>
      </c>
      <c r="CM68" s="38">
        <v>0</v>
      </c>
      <c r="CN68" s="38">
        <v>0</v>
      </c>
      <c r="CO68" s="38">
        <v>0</v>
      </c>
      <c r="CP68" s="38">
        <v>0</v>
      </c>
      <c r="CQ68" s="38">
        <v>0</v>
      </c>
      <c r="CR68" s="38">
        <v>0</v>
      </c>
      <c r="CS68" s="54">
        <f>SUM(CG68:CR68)</f>
        <v>0</v>
      </c>
    </row>
    <row r="69" spans="1:97" x14ac:dyDescent="0.15">
      <c r="B69" s="22" t="s">
        <v>30</v>
      </c>
      <c r="D69" s="59">
        <v>21</v>
      </c>
      <c r="E69" s="47"/>
      <c r="F69" s="47">
        <f>359</f>
        <v>359</v>
      </c>
      <c r="G69" s="58">
        <f t="shared" ref="G69:R69" si="114">$F$69/12</f>
        <v>29.916666666666668</v>
      </c>
      <c r="H69" s="58">
        <f t="shared" si="114"/>
        <v>29.916666666666668</v>
      </c>
      <c r="I69" s="58">
        <f t="shared" si="114"/>
        <v>29.916666666666668</v>
      </c>
      <c r="J69" s="58">
        <f t="shared" si="114"/>
        <v>29.916666666666668</v>
      </c>
      <c r="K69" s="58">
        <f t="shared" si="114"/>
        <v>29.916666666666668</v>
      </c>
      <c r="L69" s="58">
        <f t="shared" si="114"/>
        <v>29.916666666666668</v>
      </c>
      <c r="M69" s="58">
        <f t="shared" si="114"/>
        <v>29.916666666666668</v>
      </c>
      <c r="N69" s="58">
        <f t="shared" si="114"/>
        <v>29.916666666666668</v>
      </c>
      <c r="O69" s="58">
        <f t="shared" si="114"/>
        <v>29.916666666666668</v>
      </c>
      <c r="P69" s="58">
        <f t="shared" si="114"/>
        <v>29.916666666666668</v>
      </c>
      <c r="Q69" s="58">
        <f t="shared" si="114"/>
        <v>29.916666666666668</v>
      </c>
      <c r="R69" s="58">
        <f t="shared" si="114"/>
        <v>29.916666666666668</v>
      </c>
      <c r="S69" s="47">
        <f>SUM(G69:R69)</f>
        <v>359.00000000000006</v>
      </c>
      <c r="T69" s="58">
        <f t="shared" ref="T69:AE69" si="115">$F$69/12</f>
        <v>29.916666666666668</v>
      </c>
      <c r="U69" s="58">
        <f t="shared" si="115"/>
        <v>29.916666666666668</v>
      </c>
      <c r="V69" s="58">
        <f t="shared" si="115"/>
        <v>29.916666666666668</v>
      </c>
      <c r="W69" s="58">
        <f t="shared" si="115"/>
        <v>29.916666666666668</v>
      </c>
      <c r="X69" s="58">
        <f t="shared" si="115"/>
        <v>29.916666666666668</v>
      </c>
      <c r="Y69" s="58">
        <f t="shared" si="115"/>
        <v>29.916666666666668</v>
      </c>
      <c r="Z69" s="58">
        <f t="shared" si="115"/>
        <v>29.916666666666668</v>
      </c>
      <c r="AA69" s="58">
        <f t="shared" si="115"/>
        <v>29.916666666666668</v>
      </c>
      <c r="AB69" s="58">
        <f t="shared" si="115"/>
        <v>29.916666666666668</v>
      </c>
      <c r="AC69" s="58">
        <f t="shared" si="115"/>
        <v>29.916666666666668</v>
      </c>
      <c r="AD69" s="58">
        <f t="shared" si="115"/>
        <v>29.916666666666668</v>
      </c>
      <c r="AE69" s="58">
        <f t="shared" si="115"/>
        <v>29.916666666666668</v>
      </c>
      <c r="AF69" s="47">
        <f>SUM(T69:AE69)</f>
        <v>359.00000000000006</v>
      </c>
      <c r="AG69" s="58">
        <f t="shared" ref="AG69:AR69" si="116">$F$69/12</f>
        <v>29.916666666666668</v>
      </c>
      <c r="AH69" s="58">
        <f t="shared" si="116"/>
        <v>29.916666666666668</v>
      </c>
      <c r="AI69" s="58">
        <f t="shared" si="116"/>
        <v>29.916666666666668</v>
      </c>
      <c r="AJ69" s="58">
        <f t="shared" si="116"/>
        <v>29.916666666666668</v>
      </c>
      <c r="AK69" s="58">
        <f t="shared" si="116"/>
        <v>29.916666666666668</v>
      </c>
      <c r="AL69" s="58">
        <f t="shared" si="116"/>
        <v>29.916666666666668</v>
      </c>
      <c r="AM69" s="58">
        <f t="shared" si="116"/>
        <v>29.916666666666668</v>
      </c>
      <c r="AN69" s="58">
        <f t="shared" si="116"/>
        <v>29.916666666666668</v>
      </c>
      <c r="AO69" s="58">
        <f t="shared" si="116"/>
        <v>29.916666666666668</v>
      </c>
      <c r="AP69" s="58">
        <f t="shared" si="116"/>
        <v>29.916666666666668</v>
      </c>
      <c r="AQ69" s="58">
        <f t="shared" si="116"/>
        <v>29.916666666666668</v>
      </c>
      <c r="AR69" s="58">
        <f t="shared" si="116"/>
        <v>29.916666666666668</v>
      </c>
      <c r="AS69" s="47">
        <f>SUM(AG69:AR69)</f>
        <v>359.00000000000006</v>
      </c>
      <c r="AT69" s="39">
        <v>40.034495207008739</v>
      </c>
      <c r="AU69" s="39">
        <v>34.086517192824118</v>
      </c>
      <c r="AV69" s="39">
        <v>34.176263091654775</v>
      </c>
      <c r="AW69" s="39">
        <v>34.275936532556486</v>
      </c>
      <c r="AX69" s="39">
        <v>35.297060734387387</v>
      </c>
      <c r="AY69" s="39">
        <v>33.806179580685765</v>
      </c>
      <c r="AZ69" s="39">
        <v>28.226084485068125</v>
      </c>
      <c r="BA69" s="39">
        <v>29.869033590131647</v>
      </c>
      <c r="BB69" s="39">
        <v>31.334188224021357</v>
      </c>
      <c r="BC69" s="39">
        <v>29.658053547682339</v>
      </c>
      <c r="BD69" s="39">
        <v>23.230750363339443</v>
      </c>
      <c r="BE69" s="39">
        <v>28.405905840045666</v>
      </c>
      <c r="BF69" s="56">
        <f>SUM(AT69:BE69)</f>
        <v>382.40046838940583</v>
      </c>
      <c r="BG69" s="39">
        <v>32.246758159439381</v>
      </c>
      <c r="BH69" s="39">
        <v>38.151085775543137</v>
      </c>
      <c r="BI69" s="39">
        <v>42.863372686141041</v>
      </c>
      <c r="BJ69" s="39">
        <v>42.925335627506399</v>
      </c>
      <c r="BK69" s="39">
        <v>44.279059278538838</v>
      </c>
      <c r="BL69" s="39">
        <v>37.576312727130286</v>
      </c>
      <c r="BM69" s="39">
        <v>35.219124468830017</v>
      </c>
      <c r="BN69" s="39">
        <v>33.809770692344735</v>
      </c>
      <c r="BO69" s="39">
        <v>31.034553011149363</v>
      </c>
      <c r="BP69" s="39">
        <v>33.115062806609721</v>
      </c>
      <c r="BQ69" s="39">
        <v>27.868539885820606</v>
      </c>
      <c r="BR69" s="39">
        <v>32.35062931007959</v>
      </c>
      <c r="BS69" s="55">
        <f>SUM(BG69:BR69)</f>
        <v>431.43960442913306</v>
      </c>
      <c r="BT69" s="39">
        <v>43.6266859266943</v>
      </c>
      <c r="BU69" s="39">
        <v>43.255214973757774</v>
      </c>
      <c r="BV69" s="39">
        <v>54.874199108251517</v>
      </c>
      <c r="BW69" s="39">
        <v>41.067940499067987</v>
      </c>
      <c r="BX69" s="39">
        <v>44.968963819431778</v>
      </c>
      <c r="BY69" s="39">
        <v>41.263281548904317</v>
      </c>
      <c r="BZ69" s="39">
        <v>33.848961129832446</v>
      </c>
      <c r="CA69" s="39">
        <v>36.795507169470284</v>
      </c>
      <c r="CB69" s="39">
        <v>34.456938543339227</v>
      </c>
      <c r="CC69" s="39">
        <v>36.702661715810677</v>
      </c>
      <c r="CD69" s="39">
        <v>29.010959179123869</v>
      </c>
      <c r="CE69" s="39">
        <v>34.241208463318934</v>
      </c>
      <c r="CF69" s="54">
        <f>SUM(BT69:CE69)</f>
        <v>474.11252207700306</v>
      </c>
      <c r="CG69" s="38">
        <v>0</v>
      </c>
      <c r="CH69" s="38">
        <v>0</v>
      </c>
      <c r="CI69" s="38">
        <v>0</v>
      </c>
      <c r="CJ69" s="38">
        <v>0</v>
      </c>
      <c r="CK69" s="38">
        <v>0</v>
      </c>
      <c r="CL69" s="38">
        <v>0</v>
      </c>
      <c r="CM69" s="38">
        <v>0</v>
      </c>
      <c r="CN69" s="38">
        <v>0</v>
      </c>
      <c r="CO69" s="38">
        <v>0</v>
      </c>
      <c r="CP69" s="38">
        <v>0</v>
      </c>
      <c r="CQ69" s="38">
        <v>0</v>
      </c>
      <c r="CR69" s="38">
        <v>0</v>
      </c>
      <c r="CS69" s="54">
        <f>SUM(CG69:CR69)</f>
        <v>0</v>
      </c>
    </row>
    <row r="70" spans="1:97" x14ac:dyDescent="0.15">
      <c r="D70" s="25"/>
      <c r="E70" s="47"/>
      <c r="F70" s="47"/>
      <c r="G70" s="36"/>
      <c r="H70" s="36"/>
      <c r="I70" s="36"/>
      <c r="J70" s="36"/>
      <c r="K70" s="36"/>
      <c r="L70" s="36"/>
      <c r="M70" s="36"/>
      <c r="N70" s="36"/>
      <c r="O70" s="36"/>
      <c r="P70" s="36"/>
      <c r="Q70" s="36"/>
      <c r="R70" s="36"/>
      <c r="S70" s="47"/>
      <c r="T70" s="36"/>
      <c r="U70" s="36"/>
      <c r="V70" s="36"/>
      <c r="W70" s="36"/>
      <c r="X70" s="36"/>
      <c r="Y70" s="36"/>
      <c r="Z70" s="36"/>
      <c r="AA70" s="36"/>
      <c r="AB70" s="36"/>
      <c r="AC70" s="36"/>
      <c r="AD70" s="36"/>
      <c r="AE70" s="36"/>
      <c r="AF70" s="47"/>
      <c r="AG70" s="36"/>
      <c r="AH70" s="36"/>
      <c r="AI70" s="36"/>
      <c r="AJ70" s="36"/>
      <c r="AK70" s="36"/>
      <c r="AL70" s="36"/>
      <c r="AM70" s="36"/>
      <c r="AN70" s="36"/>
      <c r="AO70" s="36"/>
      <c r="AP70" s="36"/>
      <c r="AQ70" s="36"/>
      <c r="AR70" s="36"/>
      <c r="AS70" s="47"/>
      <c r="AT70" s="26"/>
      <c r="AU70" s="26"/>
      <c r="AV70" s="26"/>
      <c r="AW70" s="26"/>
      <c r="AX70" s="26"/>
      <c r="AY70" s="26"/>
      <c r="AZ70" s="26"/>
      <c r="BA70" s="26"/>
      <c r="BB70" s="26"/>
      <c r="BC70" s="26"/>
      <c r="BD70" s="26"/>
      <c r="BE70" s="26"/>
      <c r="BF70" s="56"/>
      <c r="BG70" s="26"/>
      <c r="BH70" s="26"/>
      <c r="BI70" s="26"/>
      <c r="BJ70" s="26"/>
      <c r="BK70" s="26"/>
      <c r="BL70" s="26"/>
      <c r="BM70" s="26"/>
      <c r="BN70" s="26"/>
      <c r="BO70" s="26"/>
      <c r="BP70" s="26"/>
      <c r="BQ70" s="26"/>
      <c r="BR70" s="26"/>
      <c r="BS70" s="55"/>
      <c r="BT70" s="38"/>
      <c r="BU70" s="38"/>
      <c r="BV70" s="38"/>
      <c r="BW70" s="38"/>
      <c r="BX70" s="38"/>
      <c r="BY70" s="38"/>
      <c r="BZ70" s="38"/>
      <c r="CA70" s="38"/>
      <c r="CB70" s="38"/>
      <c r="CC70" s="38"/>
      <c r="CD70" s="38"/>
      <c r="CE70" s="38"/>
      <c r="CF70" s="54"/>
      <c r="CG70" s="38"/>
      <c r="CH70" s="38"/>
      <c r="CI70" s="38"/>
      <c r="CJ70" s="38"/>
      <c r="CK70" s="38"/>
      <c r="CL70" s="38"/>
      <c r="CM70" s="38"/>
      <c r="CN70" s="38"/>
      <c r="CO70" s="38"/>
      <c r="CP70" s="38"/>
      <c r="CQ70" s="38"/>
      <c r="CR70" s="38"/>
      <c r="CS70" s="54"/>
    </row>
    <row r="71" spans="1:97" x14ac:dyDescent="0.15">
      <c r="A71" s="22" t="s">
        <v>17</v>
      </c>
      <c r="B71" s="22" t="s">
        <v>33</v>
      </c>
      <c r="D71" s="59">
        <v>20</v>
      </c>
      <c r="E71" s="47">
        <f>1140+245</f>
        <v>1385</v>
      </c>
      <c r="F71" s="47">
        <f>1296</f>
        <v>1296</v>
      </c>
      <c r="G71" s="58">
        <f t="shared" ref="G71:R71" si="117">$F$71/12</f>
        <v>108</v>
      </c>
      <c r="H71" s="58">
        <f t="shared" si="117"/>
        <v>108</v>
      </c>
      <c r="I71" s="58">
        <f t="shared" si="117"/>
        <v>108</v>
      </c>
      <c r="J71" s="58">
        <f t="shared" si="117"/>
        <v>108</v>
      </c>
      <c r="K71" s="58">
        <f t="shared" si="117"/>
        <v>108</v>
      </c>
      <c r="L71" s="58">
        <f t="shared" si="117"/>
        <v>108</v>
      </c>
      <c r="M71" s="58">
        <f t="shared" si="117"/>
        <v>108</v>
      </c>
      <c r="N71" s="58">
        <f t="shared" si="117"/>
        <v>108</v>
      </c>
      <c r="O71" s="58">
        <f t="shared" si="117"/>
        <v>108</v>
      </c>
      <c r="P71" s="58">
        <f t="shared" si="117"/>
        <v>108</v>
      </c>
      <c r="Q71" s="58">
        <f t="shared" si="117"/>
        <v>108</v>
      </c>
      <c r="R71" s="58">
        <f t="shared" si="117"/>
        <v>108</v>
      </c>
      <c r="S71" s="47">
        <f>SUM(G71:R71)</f>
        <v>1296</v>
      </c>
      <c r="T71" s="58">
        <f t="shared" ref="T71:AE71" si="118">$F$71/12</f>
        <v>108</v>
      </c>
      <c r="U71" s="58">
        <f t="shared" si="118"/>
        <v>108</v>
      </c>
      <c r="V71" s="58">
        <f t="shared" si="118"/>
        <v>108</v>
      </c>
      <c r="W71" s="58">
        <f t="shared" si="118"/>
        <v>108</v>
      </c>
      <c r="X71" s="58">
        <f t="shared" si="118"/>
        <v>108</v>
      </c>
      <c r="Y71" s="58">
        <f t="shared" si="118"/>
        <v>108</v>
      </c>
      <c r="Z71" s="58">
        <f t="shared" si="118"/>
        <v>108</v>
      </c>
      <c r="AA71" s="58">
        <f t="shared" si="118"/>
        <v>108</v>
      </c>
      <c r="AB71" s="58">
        <f t="shared" si="118"/>
        <v>108</v>
      </c>
      <c r="AC71" s="58">
        <f t="shared" si="118"/>
        <v>108</v>
      </c>
      <c r="AD71" s="58">
        <f t="shared" si="118"/>
        <v>108</v>
      </c>
      <c r="AE71" s="58">
        <f t="shared" si="118"/>
        <v>108</v>
      </c>
      <c r="AF71" s="47">
        <f>SUM(T71:AE71)</f>
        <v>1296</v>
      </c>
      <c r="AG71" s="58">
        <f t="shared" ref="AG71:AR71" si="119">$F$71/12</f>
        <v>108</v>
      </c>
      <c r="AH71" s="58">
        <f t="shared" si="119"/>
        <v>108</v>
      </c>
      <c r="AI71" s="58">
        <f t="shared" si="119"/>
        <v>108</v>
      </c>
      <c r="AJ71" s="58">
        <f t="shared" si="119"/>
        <v>108</v>
      </c>
      <c r="AK71" s="58">
        <f t="shared" si="119"/>
        <v>108</v>
      </c>
      <c r="AL71" s="58">
        <f t="shared" si="119"/>
        <v>108</v>
      </c>
      <c r="AM71" s="58">
        <f t="shared" si="119"/>
        <v>108</v>
      </c>
      <c r="AN71" s="58">
        <f t="shared" si="119"/>
        <v>108</v>
      </c>
      <c r="AO71" s="58">
        <f t="shared" si="119"/>
        <v>108</v>
      </c>
      <c r="AP71" s="58">
        <f t="shared" si="119"/>
        <v>108</v>
      </c>
      <c r="AQ71" s="58">
        <f t="shared" si="119"/>
        <v>108</v>
      </c>
      <c r="AR71" s="58">
        <f t="shared" si="119"/>
        <v>108</v>
      </c>
      <c r="AS71" s="47">
        <f>SUM(AG71:AR71)</f>
        <v>1296</v>
      </c>
      <c r="AT71" s="57">
        <f t="shared" ref="AT71:BB71" si="120">$F$71/12</f>
        <v>108</v>
      </c>
      <c r="AU71" s="57">
        <f t="shared" si="120"/>
        <v>108</v>
      </c>
      <c r="AV71" s="57">
        <f t="shared" si="120"/>
        <v>108</v>
      </c>
      <c r="AW71" s="57">
        <f t="shared" si="120"/>
        <v>108</v>
      </c>
      <c r="AX71" s="57">
        <f t="shared" si="120"/>
        <v>108</v>
      </c>
      <c r="AY71" s="57">
        <f t="shared" si="120"/>
        <v>108</v>
      </c>
      <c r="AZ71" s="57">
        <f t="shared" si="120"/>
        <v>108</v>
      </c>
      <c r="BA71" s="57">
        <f t="shared" si="120"/>
        <v>108</v>
      </c>
      <c r="BB71" s="57">
        <f t="shared" si="120"/>
        <v>108</v>
      </c>
      <c r="BC71" s="39">
        <v>110.21485719111894</v>
      </c>
      <c r="BD71" s="39">
        <v>110.21485719111894</v>
      </c>
      <c r="BE71" s="39">
        <v>110.21485719111894</v>
      </c>
      <c r="BF71" s="56">
        <f>SUM(AT71:BE71)</f>
        <v>1302.6445715733566</v>
      </c>
      <c r="BG71" s="39">
        <v>169.34015279206366</v>
      </c>
      <c r="BH71" s="39">
        <v>169.34015279206366</v>
      </c>
      <c r="BI71" s="39">
        <v>169.34015279206366</v>
      </c>
      <c r="BJ71" s="39">
        <v>171.03799926594084</v>
      </c>
      <c r="BK71" s="39">
        <v>171.03799926594084</v>
      </c>
      <c r="BL71" s="39">
        <v>171.03799926594084</v>
      </c>
      <c r="BM71" s="39">
        <v>101.9922426616031</v>
      </c>
      <c r="BN71" s="39">
        <v>101.9922426616031</v>
      </c>
      <c r="BO71" s="39">
        <v>101.9922426616031</v>
      </c>
      <c r="BP71" s="39">
        <v>185.10587004949443</v>
      </c>
      <c r="BQ71" s="39">
        <v>185.10587004949443</v>
      </c>
      <c r="BR71" s="39">
        <v>185.10587004949443</v>
      </c>
      <c r="BS71" s="55">
        <f>SUM(BG71:BR71)</f>
        <v>1882.4287943073057</v>
      </c>
      <c r="BT71" s="39">
        <v>181.29685769087808</v>
      </c>
      <c r="BU71" s="39">
        <v>181.29685769087808</v>
      </c>
      <c r="BV71" s="39">
        <v>181.29685769087808</v>
      </c>
      <c r="BW71" s="39">
        <v>181.91788559167378</v>
      </c>
      <c r="BX71" s="39">
        <v>181.91788559167378</v>
      </c>
      <c r="BY71" s="39">
        <v>181.91788559167378</v>
      </c>
      <c r="BZ71" s="39">
        <v>106.92876657059537</v>
      </c>
      <c r="CA71" s="39">
        <v>106.92876657059537</v>
      </c>
      <c r="CB71" s="39">
        <v>106.92876657059537</v>
      </c>
      <c r="CC71" s="39">
        <v>202.95520573112751</v>
      </c>
      <c r="CD71" s="39">
        <v>202.95520573112751</v>
      </c>
      <c r="CE71" s="39">
        <v>202.95520573112751</v>
      </c>
      <c r="CF71" s="54">
        <f>SUM(BT71:CE71)</f>
        <v>2019.2961467528241</v>
      </c>
      <c r="CG71" s="38">
        <v>0</v>
      </c>
      <c r="CH71" s="38">
        <v>0</v>
      </c>
      <c r="CI71" s="38">
        <v>0</v>
      </c>
      <c r="CJ71" s="38">
        <v>0</v>
      </c>
      <c r="CK71" s="38">
        <v>0</v>
      </c>
      <c r="CL71" s="38">
        <v>0</v>
      </c>
      <c r="CM71" s="38">
        <v>0</v>
      </c>
      <c r="CN71" s="38">
        <v>0</v>
      </c>
      <c r="CO71" s="38">
        <v>0</v>
      </c>
      <c r="CP71" s="38">
        <v>0</v>
      </c>
      <c r="CQ71" s="38">
        <v>0</v>
      </c>
      <c r="CR71" s="38">
        <v>0</v>
      </c>
      <c r="CS71" s="54">
        <f>SUM(CG71:CR71)</f>
        <v>0</v>
      </c>
    </row>
    <row r="72" spans="1:97" x14ac:dyDescent="0.15">
      <c r="B72" s="22" t="s">
        <v>30</v>
      </c>
      <c r="D72" s="59">
        <v>21</v>
      </c>
      <c r="E72" s="47"/>
      <c r="F72" s="47">
        <v>275</v>
      </c>
      <c r="G72" s="58">
        <f t="shared" ref="G72:R72" si="121">$F$72/12</f>
        <v>22.916666666666668</v>
      </c>
      <c r="H72" s="58">
        <f t="shared" si="121"/>
        <v>22.916666666666668</v>
      </c>
      <c r="I72" s="58">
        <f t="shared" si="121"/>
        <v>22.916666666666668</v>
      </c>
      <c r="J72" s="58">
        <f t="shared" si="121"/>
        <v>22.916666666666668</v>
      </c>
      <c r="K72" s="58">
        <f t="shared" si="121"/>
        <v>22.916666666666668</v>
      </c>
      <c r="L72" s="58">
        <f t="shared" si="121"/>
        <v>22.916666666666668</v>
      </c>
      <c r="M72" s="58">
        <f t="shared" si="121"/>
        <v>22.916666666666668</v>
      </c>
      <c r="N72" s="58">
        <f t="shared" si="121"/>
        <v>22.916666666666668</v>
      </c>
      <c r="O72" s="58">
        <f t="shared" si="121"/>
        <v>22.916666666666668</v>
      </c>
      <c r="P72" s="58">
        <f t="shared" si="121"/>
        <v>22.916666666666668</v>
      </c>
      <c r="Q72" s="58">
        <f t="shared" si="121"/>
        <v>22.916666666666668</v>
      </c>
      <c r="R72" s="58">
        <f t="shared" si="121"/>
        <v>22.916666666666668</v>
      </c>
      <c r="S72" s="47">
        <f>SUM(G72:R72)</f>
        <v>274.99999999999994</v>
      </c>
      <c r="T72" s="58">
        <f t="shared" ref="T72:AE72" si="122">$F$72/12</f>
        <v>22.916666666666668</v>
      </c>
      <c r="U72" s="58">
        <f t="shared" si="122"/>
        <v>22.916666666666668</v>
      </c>
      <c r="V72" s="58">
        <f t="shared" si="122"/>
        <v>22.916666666666668</v>
      </c>
      <c r="W72" s="58">
        <f t="shared" si="122"/>
        <v>22.916666666666668</v>
      </c>
      <c r="X72" s="58">
        <f t="shared" si="122"/>
        <v>22.916666666666668</v>
      </c>
      <c r="Y72" s="58">
        <f t="shared" si="122"/>
        <v>22.916666666666668</v>
      </c>
      <c r="Z72" s="58">
        <f t="shared" si="122"/>
        <v>22.916666666666668</v>
      </c>
      <c r="AA72" s="58">
        <f t="shared" si="122"/>
        <v>22.916666666666668</v>
      </c>
      <c r="AB72" s="58">
        <f t="shared" si="122"/>
        <v>22.916666666666668</v>
      </c>
      <c r="AC72" s="58">
        <f t="shared" si="122"/>
        <v>22.916666666666668</v>
      </c>
      <c r="AD72" s="58">
        <f t="shared" si="122"/>
        <v>22.916666666666668</v>
      </c>
      <c r="AE72" s="58">
        <f t="shared" si="122"/>
        <v>22.916666666666668</v>
      </c>
      <c r="AF72" s="47">
        <f>SUM(T72:AE72)</f>
        <v>274.99999999999994</v>
      </c>
      <c r="AG72" s="58">
        <f t="shared" ref="AG72:AR72" si="123">$F$72/12</f>
        <v>22.916666666666668</v>
      </c>
      <c r="AH72" s="58">
        <f t="shared" si="123"/>
        <v>22.916666666666668</v>
      </c>
      <c r="AI72" s="58">
        <f t="shared" si="123"/>
        <v>22.916666666666668</v>
      </c>
      <c r="AJ72" s="58">
        <f t="shared" si="123"/>
        <v>22.916666666666668</v>
      </c>
      <c r="AK72" s="58">
        <f t="shared" si="123"/>
        <v>22.916666666666668</v>
      </c>
      <c r="AL72" s="58">
        <f t="shared" si="123"/>
        <v>22.916666666666668</v>
      </c>
      <c r="AM72" s="58">
        <f t="shared" si="123"/>
        <v>22.916666666666668</v>
      </c>
      <c r="AN72" s="58">
        <f t="shared" si="123"/>
        <v>22.916666666666668</v>
      </c>
      <c r="AO72" s="58">
        <f t="shared" si="123"/>
        <v>22.916666666666668</v>
      </c>
      <c r="AP72" s="58">
        <f t="shared" si="123"/>
        <v>22.916666666666668</v>
      </c>
      <c r="AQ72" s="58">
        <f t="shared" si="123"/>
        <v>22.916666666666668</v>
      </c>
      <c r="AR72" s="58">
        <f t="shared" si="123"/>
        <v>22.916666666666668</v>
      </c>
      <c r="AS72" s="47">
        <f>SUM(AG72:AR72)</f>
        <v>274.99999999999994</v>
      </c>
      <c r="AT72" s="39">
        <v>31.490548059171509</v>
      </c>
      <c r="AU72" s="39">
        <v>26.811955596794579</v>
      </c>
      <c r="AV72" s="39">
        <v>26.882548407460156</v>
      </c>
      <c r="AW72" s="39">
        <v>26.960950077437722</v>
      </c>
      <c r="AX72" s="39">
        <v>27.764151431316911</v>
      </c>
      <c r="AY72" s="39">
        <v>26.591446133588192</v>
      </c>
      <c r="AZ72" s="39">
        <v>22.202224991303584</v>
      </c>
      <c r="BA72" s="39">
        <v>23.494544714188919</v>
      </c>
      <c r="BB72" s="39">
        <v>24.647013907919238</v>
      </c>
      <c r="BC72" s="39">
        <v>23.328590900311109</v>
      </c>
      <c r="BD72" s="39">
        <v>18.272968273602366</v>
      </c>
      <c r="BE72" s="39">
        <v>22.343669837596895</v>
      </c>
      <c r="BF72" s="56">
        <f>SUM(AT72:BE72)</f>
        <v>300.7906123306912</v>
      </c>
      <c r="BG72" s="39">
        <v>25.364828064437077</v>
      </c>
      <c r="BH72" s="39">
        <v>30.009085762469905</v>
      </c>
      <c r="BI72" s="39">
        <v>33.715701686049968</v>
      </c>
      <c r="BJ72" s="39">
        <v>33.764440828953205</v>
      </c>
      <c r="BK72" s="39">
        <v>34.829260042265311</v>
      </c>
      <c r="BL72" s="39">
        <v>29.556977693901263</v>
      </c>
      <c r="BM72" s="39">
        <v>27.702847905360201</v>
      </c>
      <c r="BN72" s="39">
        <v>26.594270849466287</v>
      </c>
      <c r="BO72" s="39">
        <v>24.411325234379685</v>
      </c>
      <c r="BP72" s="39">
        <v>26.047823793003989</v>
      </c>
      <c r="BQ72" s="39">
        <v>21.920985641895477</v>
      </c>
      <c r="BR72" s="39">
        <v>25.446531591465043</v>
      </c>
      <c r="BS72" s="55">
        <f>SUM(BG72:BR72)</f>
        <v>339.36407909364738</v>
      </c>
      <c r="BT72" s="39">
        <v>40.852734798407383</v>
      </c>
      <c r="BU72" s="39">
        <v>40.504883385830979</v>
      </c>
      <c r="BV72" s="39">
        <v>51.38508818229333</v>
      </c>
      <c r="BW72" s="39">
        <v>38.456684166757306</v>
      </c>
      <c r="BX72" s="39">
        <v>42.109665541895652</v>
      </c>
      <c r="BY72" s="39">
        <v>38.639604687413296</v>
      </c>
      <c r="BZ72" s="39">
        <v>31.696715046432697</v>
      </c>
      <c r="CA72" s="39">
        <v>34.455908447712055</v>
      </c>
      <c r="CB72" s="39">
        <v>32.266034936537309</v>
      </c>
      <c r="CC72" s="39">
        <v>34.36896646220422</v>
      </c>
      <c r="CD72" s="39">
        <v>27.166331716867436</v>
      </c>
      <c r="CE72" s="39">
        <v>32.064021798021201</v>
      </c>
      <c r="CF72" s="54">
        <f>SUM(BT72:CE72)</f>
        <v>443.9666391703729</v>
      </c>
      <c r="CG72" s="38">
        <v>0</v>
      </c>
      <c r="CH72" s="38">
        <v>0</v>
      </c>
      <c r="CI72" s="38">
        <v>0</v>
      </c>
      <c r="CJ72" s="38">
        <v>0</v>
      </c>
      <c r="CK72" s="38">
        <v>0</v>
      </c>
      <c r="CL72" s="38">
        <v>0</v>
      </c>
      <c r="CM72" s="38">
        <v>0</v>
      </c>
      <c r="CN72" s="38">
        <v>0</v>
      </c>
      <c r="CO72" s="38">
        <v>0</v>
      </c>
      <c r="CP72" s="38">
        <v>0</v>
      </c>
      <c r="CQ72" s="38">
        <v>0</v>
      </c>
      <c r="CR72" s="38">
        <v>0</v>
      </c>
      <c r="CS72" s="54">
        <f>SUM(CG72:CR72)</f>
        <v>0</v>
      </c>
    </row>
    <row r="73" spans="1:97" x14ac:dyDescent="0.15">
      <c r="D73" s="25"/>
      <c r="E73" s="47"/>
      <c r="F73" s="47"/>
      <c r="G73" s="36"/>
      <c r="H73" s="36"/>
      <c r="I73" s="36"/>
      <c r="J73" s="36"/>
      <c r="K73" s="36"/>
      <c r="L73" s="36"/>
      <c r="M73" s="36"/>
      <c r="N73" s="36"/>
      <c r="O73" s="36"/>
      <c r="P73" s="36"/>
      <c r="Q73" s="36"/>
      <c r="R73" s="36"/>
      <c r="S73" s="47"/>
      <c r="T73" s="36"/>
      <c r="U73" s="36"/>
      <c r="V73" s="36"/>
      <c r="W73" s="36"/>
      <c r="X73" s="36"/>
      <c r="Y73" s="36"/>
      <c r="Z73" s="36"/>
      <c r="AA73" s="36"/>
      <c r="AB73" s="36"/>
      <c r="AC73" s="36"/>
      <c r="AD73" s="36"/>
      <c r="AE73" s="36"/>
      <c r="AF73" s="47"/>
      <c r="AG73" s="36"/>
      <c r="AH73" s="36"/>
      <c r="AI73" s="36"/>
      <c r="AJ73" s="36"/>
      <c r="AK73" s="36"/>
      <c r="AL73" s="36"/>
      <c r="AM73" s="36"/>
      <c r="AN73" s="36"/>
      <c r="AO73" s="36"/>
      <c r="AP73" s="36"/>
      <c r="AQ73" s="36"/>
      <c r="AR73" s="36"/>
      <c r="AS73" s="47"/>
      <c r="AT73" s="26"/>
      <c r="AU73" s="26"/>
      <c r="AV73" s="26"/>
      <c r="AW73" s="26"/>
      <c r="AX73" s="26"/>
      <c r="AY73" s="26"/>
      <c r="AZ73" s="26"/>
      <c r="BA73" s="26"/>
      <c r="BB73" s="26"/>
      <c r="BC73" s="26"/>
      <c r="BD73" s="26"/>
      <c r="BE73" s="26"/>
      <c r="BF73" s="56"/>
      <c r="BG73" s="26"/>
      <c r="BH73" s="26"/>
      <c r="BI73" s="26"/>
      <c r="BJ73" s="26"/>
      <c r="BK73" s="26"/>
      <c r="BL73" s="26"/>
      <c r="BM73" s="26"/>
      <c r="BN73" s="26"/>
      <c r="BO73" s="26"/>
      <c r="BP73" s="26"/>
      <c r="BQ73" s="26"/>
      <c r="BR73" s="26"/>
      <c r="BS73" s="55"/>
      <c r="BT73" s="38"/>
      <c r="BU73" s="38"/>
      <c r="BV73" s="38"/>
      <c r="BW73" s="38"/>
      <c r="BX73" s="38"/>
      <c r="BY73" s="38"/>
      <c r="BZ73" s="38"/>
      <c r="CA73" s="38"/>
      <c r="CB73" s="38"/>
      <c r="CC73" s="38"/>
      <c r="CD73" s="38"/>
      <c r="CE73" s="38"/>
      <c r="CF73" s="54"/>
      <c r="CG73" s="38"/>
      <c r="CH73" s="38"/>
      <c r="CI73" s="38"/>
      <c r="CJ73" s="38"/>
      <c r="CK73" s="38"/>
      <c r="CL73" s="38"/>
      <c r="CM73" s="38"/>
      <c r="CN73" s="38"/>
      <c r="CO73" s="38"/>
      <c r="CP73" s="38"/>
      <c r="CQ73" s="38"/>
      <c r="CR73" s="38"/>
      <c r="CS73" s="54"/>
    </row>
    <row r="74" spans="1:97" x14ac:dyDescent="0.15">
      <c r="A74" s="22" t="s">
        <v>18</v>
      </c>
      <c r="B74" s="22" t="s">
        <v>30</v>
      </c>
      <c r="D74" s="25">
        <v>21</v>
      </c>
      <c r="E74" s="47">
        <v>55</v>
      </c>
      <c r="F74" s="47">
        <v>62</v>
      </c>
      <c r="G74" s="58">
        <f t="shared" ref="G74:R74" si="124">$F$74/12</f>
        <v>5.166666666666667</v>
      </c>
      <c r="H74" s="58">
        <f t="shared" si="124"/>
        <v>5.166666666666667</v>
      </c>
      <c r="I74" s="58">
        <f t="shared" si="124"/>
        <v>5.166666666666667</v>
      </c>
      <c r="J74" s="58">
        <f t="shared" si="124"/>
        <v>5.166666666666667</v>
      </c>
      <c r="K74" s="58">
        <f t="shared" si="124"/>
        <v>5.166666666666667</v>
      </c>
      <c r="L74" s="58">
        <f t="shared" si="124"/>
        <v>5.166666666666667</v>
      </c>
      <c r="M74" s="58">
        <f t="shared" si="124"/>
        <v>5.166666666666667</v>
      </c>
      <c r="N74" s="58">
        <f t="shared" si="124"/>
        <v>5.166666666666667</v>
      </c>
      <c r="O74" s="58">
        <f t="shared" si="124"/>
        <v>5.166666666666667</v>
      </c>
      <c r="P74" s="58">
        <f t="shared" si="124"/>
        <v>5.166666666666667</v>
      </c>
      <c r="Q74" s="58">
        <f t="shared" si="124"/>
        <v>5.166666666666667</v>
      </c>
      <c r="R74" s="58">
        <f t="shared" si="124"/>
        <v>5.166666666666667</v>
      </c>
      <c r="S74" s="47">
        <f>SUM(G74:R74)</f>
        <v>61.999999999999993</v>
      </c>
      <c r="T74" s="58">
        <f t="shared" ref="T74:AE74" si="125">$F$74/12</f>
        <v>5.166666666666667</v>
      </c>
      <c r="U74" s="58">
        <f t="shared" si="125"/>
        <v>5.166666666666667</v>
      </c>
      <c r="V74" s="58">
        <f t="shared" si="125"/>
        <v>5.166666666666667</v>
      </c>
      <c r="W74" s="58">
        <f t="shared" si="125"/>
        <v>5.166666666666667</v>
      </c>
      <c r="X74" s="58">
        <f t="shared" si="125"/>
        <v>5.166666666666667</v>
      </c>
      <c r="Y74" s="58">
        <f t="shared" si="125"/>
        <v>5.166666666666667</v>
      </c>
      <c r="Z74" s="58">
        <f t="shared" si="125"/>
        <v>5.166666666666667</v>
      </c>
      <c r="AA74" s="58">
        <f t="shared" si="125"/>
        <v>5.166666666666667</v>
      </c>
      <c r="AB74" s="58">
        <f t="shared" si="125"/>
        <v>5.166666666666667</v>
      </c>
      <c r="AC74" s="58">
        <f t="shared" si="125"/>
        <v>5.166666666666667</v>
      </c>
      <c r="AD74" s="58">
        <f t="shared" si="125"/>
        <v>5.166666666666667</v>
      </c>
      <c r="AE74" s="58">
        <f t="shared" si="125"/>
        <v>5.166666666666667</v>
      </c>
      <c r="AF74" s="47">
        <f>SUM(T74:AE74)</f>
        <v>61.999999999999993</v>
      </c>
      <c r="AG74" s="58">
        <f t="shared" ref="AG74:AR74" si="126">$F$74/12</f>
        <v>5.166666666666667</v>
      </c>
      <c r="AH74" s="58">
        <f t="shared" si="126"/>
        <v>5.166666666666667</v>
      </c>
      <c r="AI74" s="58">
        <f t="shared" si="126"/>
        <v>5.166666666666667</v>
      </c>
      <c r="AJ74" s="58">
        <f t="shared" si="126"/>
        <v>5.166666666666667</v>
      </c>
      <c r="AK74" s="58">
        <f t="shared" si="126"/>
        <v>5.166666666666667</v>
      </c>
      <c r="AL74" s="58">
        <f t="shared" si="126"/>
        <v>5.166666666666667</v>
      </c>
      <c r="AM74" s="58">
        <f t="shared" si="126"/>
        <v>5.166666666666667</v>
      </c>
      <c r="AN74" s="58">
        <f t="shared" si="126"/>
        <v>5.166666666666667</v>
      </c>
      <c r="AO74" s="58">
        <f t="shared" si="126"/>
        <v>5.166666666666667</v>
      </c>
      <c r="AP74" s="58">
        <f t="shared" si="126"/>
        <v>5.166666666666667</v>
      </c>
      <c r="AQ74" s="58">
        <f t="shared" si="126"/>
        <v>5.166666666666667</v>
      </c>
      <c r="AR74" s="58">
        <f t="shared" si="126"/>
        <v>5.166666666666667</v>
      </c>
      <c r="AS74" s="47">
        <f>SUM(AG74:AR74)</f>
        <v>61.999999999999993</v>
      </c>
      <c r="AT74" s="57">
        <f t="shared" ref="AT74:BE74" si="127">$F$74/12</f>
        <v>5.166666666666667</v>
      </c>
      <c r="AU74" s="57">
        <f t="shared" si="127"/>
        <v>5.166666666666667</v>
      </c>
      <c r="AV74" s="57">
        <f t="shared" si="127"/>
        <v>5.166666666666667</v>
      </c>
      <c r="AW74" s="57">
        <f t="shared" si="127"/>
        <v>5.166666666666667</v>
      </c>
      <c r="AX74" s="57">
        <f t="shared" si="127"/>
        <v>5.166666666666667</v>
      </c>
      <c r="AY74" s="57">
        <f t="shared" si="127"/>
        <v>5.166666666666667</v>
      </c>
      <c r="AZ74" s="57">
        <f t="shared" si="127"/>
        <v>5.166666666666667</v>
      </c>
      <c r="BA74" s="57">
        <f t="shared" si="127"/>
        <v>5.166666666666667</v>
      </c>
      <c r="BB74" s="57">
        <f t="shared" si="127"/>
        <v>5.166666666666667</v>
      </c>
      <c r="BC74" s="57">
        <f t="shared" si="127"/>
        <v>5.166666666666667</v>
      </c>
      <c r="BD74" s="57">
        <f t="shared" si="127"/>
        <v>5.166666666666667</v>
      </c>
      <c r="BE74" s="57">
        <f t="shared" si="127"/>
        <v>5.166666666666667</v>
      </c>
      <c r="BF74" s="56">
        <f>SUM(AT74:BE74)</f>
        <v>61.999999999999993</v>
      </c>
      <c r="BG74" s="57">
        <f t="shared" ref="BG74:BR74" si="128">$F$74/12</f>
        <v>5.166666666666667</v>
      </c>
      <c r="BH74" s="57">
        <f t="shared" si="128"/>
        <v>5.166666666666667</v>
      </c>
      <c r="BI74" s="57">
        <f t="shared" si="128"/>
        <v>5.166666666666667</v>
      </c>
      <c r="BJ74" s="57">
        <f t="shared" si="128"/>
        <v>5.166666666666667</v>
      </c>
      <c r="BK74" s="57">
        <f t="shared" si="128"/>
        <v>5.166666666666667</v>
      </c>
      <c r="BL74" s="57">
        <f t="shared" si="128"/>
        <v>5.166666666666667</v>
      </c>
      <c r="BM74" s="57">
        <f t="shared" si="128"/>
        <v>5.166666666666667</v>
      </c>
      <c r="BN74" s="57">
        <f t="shared" si="128"/>
        <v>5.166666666666667</v>
      </c>
      <c r="BO74" s="57">
        <f t="shared" si="128"/>
        <v>5.166666666666667</v>
      </c>
      <c r="BP74" s="57">
        <f t="shared" si="128"/>
        <v>5.166666666666667</v>
      </c>
      <c r="BQ74" s="57">
        <f t="shared" si="128"/>
        <v>5.166666666666667</v>
      </c>
      <c r="BR74" s="57">
        <f t="shared" si="128"/>
        <v>5.166666666666667</v>
      </c>
      <c r="BS74" s="55">
        <f>SUM(BG74:BR74)</f>
        <v>61.999999999999993</v>
      </c>
      <c r="BT74" s="38">
        <v>5.166666666666667</v>
      </c>
      <c r="BU74" s="38">
        <v>5.166666666666667</v>
      </c>
      <c r="BV74" s="38">
        <v>5.166666666666667</v>
      </c>
      <c r="BW74" s="38">
        <v>5.166666666666667</v>
      </c>
      <c r="BX74" s="38">
        <v>5.166666666666667</v>
      </c>
      <c r="BY74" s="38">
        <v>5.166666666666667</v>
      </c>
      <c r="BZ74" s="38">
        <v>5.166666666666667</v>
      </c>
      <c r="CA74" s="38">
        <v>5.166666666666667</v>
      </c>
      <c r="CB74" s="38">
        <v>5.166666666666667</v>
      </c>
      <c r="CC74" s="38">
        <v>5.166666666666667</v>
      </c>
      <c r="CD74" s="38">
        <v>5.166666666666667</v>
      </c>
      <c r="CE74" s="38">
        <v>5.166666666666667</v>
      </c>
      <c r="CF74" s="54">
        <f>SUM(BT74:CE74)</f>
        <v>61.999999999999993</v>
      </c>
      <c r="CG74" s="38">
        <f t="shared" ref="CG74:CR74" si="129">$F$74/12</f>
        <v>5.166666666666667</v>
      </c>
      <c r="CH74" s="38">
        <f t="shared" si="129"/>
        <v>5.166666666666667</v>
      </c>
      <c r="CI74" s="38">
        <f t="shared" si="129"/>
        <v>5.166666666666667</v>
      </c>
      <c r="CJ74" s="38">
        <f t="shared" si="129"/>
        <v>5.166666666666667</v>
      </c>
      <c r="CK74" s="38">
        <f t="shared" si="129"/>
        <v>5.166666666666667</v>
      </c>
      <c r="CL74" s="38">
        <f t="shared" si="129"/>
        <v>5.166666666666667</v>
      </c>
      <c r="CM74" s="38">
        <f t="shared" si="129"/>
        <v>5.166666666666667</v>
      </c>
      <c r="CN74" s="38">
        <f t="shared" si="129"/>
        <v>5.166666666666667</v>
      </c>
      <c r="CO74" s="38">
        <f t="shared" si="129"/>
        <v>5.166666666666667</v>
      </c>
      <c r="CP74" s="38">
        <f t="shared" si="129"/>
        <v>5.166666666666667</v>
      </c>
      <c r="CQ74" s="38">
        <f t="shared" si="129"/>
        <v>5.166666666666667</v>
      </c>
      <c r="CR74" s="38">
        <f t="shared" si="129"/>
        <v>5.166666666666667</v>
      </c>
      <c r="CS74" s="54">
        <f>SUM(CG74:CR74)</f>
        <v>61.999999999999993</v>
      </c>
    </row>
    <row r="75" spans="1:97" x14ac:dyDescent="0.15">
      <c r="D75" s="25"/>
      <c r="E75" s="47"/>
      <c r="F75" s="47"/>
      <c r="G75" s="36"/>
      <c r="H75" s="36"/>
      <c r="I75" s="36"/>
      <c r="J75" s="36"/>
      <c r="K75" s="36"/>
      <c r="L75" s="36"/>
      <c r="M75" s="36"/>
      <c r="N75" s="36"/>
      <c r="O75" s="36"/>
      <c r="P75" s="36"/>
      <c r="Q75" s="36"/>
      <c r="R75" s="36"/>
      <c r="S75" s="47"/>
      <c r="T75" s="36"/>
      <c r="U75" s="36"/>
      <c r="V75" s="36"/>
      <c r="W75" s="36"/>
      <c r="X75" s="36"/>
      <c r="Y75" s="36"/>
      <c r="Z75" s="36"/>
      <c r="AA75" s="36"/>
      <c r="AB75" s="36"/>
      <c r="AC75" s="36"/>
      <c r="AD75" s="36"/>
      <c r="AE75" s="36"/>
      <c r="AF75" s="47"/>
      <c r="AG75" s="36"/>
      <c r="AH75" s="36"/>
      <c r="AI75" s="36"/>
      <c r="AJ75" s="36"/>
      <c r="AK75" s="32"/>
      <c r="AL75" s="32"/>
      <c r="AM75" s="32"/>
      <c r="AN75" s="32"/>
      <c r="AO75" s="32"/>
      <c r="AP75" s="32"/>
      <c r="AQ75" s="32"/>
      <c r="AR75" s="32"/>
      <c r="AS75" s="47"/>
      <c r="AT75" s="26"/>
      <c r="AU75" s="26"/>
      <c r="AV75" s="26"/>
      <c r="AW75" s="26"/>
      <c r="BF75" s="56"/>
      <c r="BG75" s="26"/>
      <c r="BH75" s="26"/>
      <c r="BI75" s="26"/>
      <c r="BJ75" s="26"/>
      <c r="BS75" s="55"/>
      <c r="BT75" s="38"/>
      <c r="BU75" s="38"/>
      <c r="BV75" s="38"/>
      <c r="BW75" s="38"/>
      <c r="BX75" s="44"/>
      <c r="BY75" s="44"/>
      <c r="BZ75" s="44"/>
      <c r="CA75" s="44"/>
      <c r="CB75" s="44"/>
      <c r="CC75" s="44"/>
      <c r="CD75" s="44"/>
      <c r="CE75" s="44"/>
      <c r="CF75" s="54"/>
      <c r="CG75" s="38"/>
      <c r="CH75" s="38"/>
      <c r="CI75" s="38"/>
      <c r="CJ75" s="38"/>
      <c r="CK75" s="44"/>
      <c r="CL75" s="44"/>
      <c r="CM75" s="44"/>
      <c r="CN75" s="44"/>
      <c r="CO75" s="44"/>
      <c r="CP75" s="44"/>
      <c r="CQ75" s="44"/>
      <c r="CR75" s="44"/>
      <c r="CS75" s="54"/>
    </row>
    <row r="76" spans="1:97" x14ac:dyDescent="0.15">
      <c r="B76" s="53" t="s">
        <v>64</v>
      </c>
      <c r="D76" s="25"/>
      <c r="E76" s="51">
        <f t="shared" ref="E76:Q76" si="130">E61+E62+E63+E64+E68+E71+E74</f>
        <v>83115.429999999993</v>
      </c>
      <c r="F76" s="51">
        <f t="shared" si="130"/>
        <v>89175</v>
      </c>
      <c r="G76" s="52">
        <f t="shared" si="130"/>
        <v>7923.8153479380398</v>
      </c>
      <c r="H76" s="52">
        <f t="shared" si="130"/>
        <v>7521.4184590450404</v>
      </c>
      <c r="I76" s="52">
        <f t="shared" si="130"/>
        <v>7537.6714931890401</v>
      </c>
      <c r="J76" s="52">
        <f t="shared" si="130"/>
        <v>7445.0558744650407</v>
      </c>
      <c r="K76" s="52">
        <f t="shared" si="130"/>
        <v>7372.7491688400405</v>
      </c>
      <c r="L76" s="52">
        <f t="shared" si="130"/>
        <v>7136.2844922880404</v>
      </c>
      <c r="M76" s="52">
        <f t="shared" si="130"/>
        <v>7023.7901869280404</v>
      </c>
      <c r="N76" s="52">
        <f t="shared" si="130"/>
        <v>7058.10390263304</v>
      </c>
      <c r="O76" s="52">
        <f t="shared" si="130"/>
        <v>7078.0135225880404</v>
      </c>
      <c r="P76" s="52">
        <f t="shared" si="130"/>
        <v>7395.5689216243627</v>
      </c>
      <c r="Q76" s="52">
        <f t="shared" si="130"/>
        <v>7666.7434798073627</v>
      </c>
      <c r="R76" s="52">
        <f>R61+R62+R63+R64+R68+R69+R71+R72+R74</f>
        <v>7760.7411731206967</v>
      </c>
      <c r="S76" s="51">
        <f>SUM(G76:R76)</f>
        <v>88919.95602246678</v>
      </c>
      <c r="T76" s="52">
        <f t="shared" ref="T76:AE76" si="131">T61+T62+T63+T64+T68+T69+T71+T72+T74</f>
        <v>7615.0698786676294</v>
      </c>
      <c r="U76" s="52">
        <f t="shared" si="131"/>
        <v>7186.2217346296293</v>
      </c>
      <c r="V76" s="52">
        <f t="shared" si="131"/>
        <v>7194.2511851526297</v>
      </c>
      <c r="W76" s="52">
        <f t="shared" si="131"/>
        <v>7108.2966477496302</v>
      </c>
      <c r="X76" s="52">
        <f t="shared" si="131"/>
        <v>7043.8043877146301</v>
      </c>
      <c r="Y76" s="52">
        <f t="shared" si="131"/>
        <v>6811.7756972996294</v>
      </c>
      <c r="Z76" s="52">
        <f t="shared" si="131"/>
        <v>6766.5452261326291</v>
      </c>
      <c r="AA76" s="52">
        <f t="shared" si="131"/>
        <v>6768.9665018096293</v>
      </c>
      <c r="AB76" s="52">
        <f t="shared" si="131"/>
        <v>6716.4023070746298</v>
      </c>
      <c r="AC76" s="52">
        <f t="shared" si="131"/>
        <v>7605.8694990150407</v>
      </c>
      <c r="AD76" s="52">
        <f t="shared" si="131"/>
        <v>7718.1829580010408</v>
      </c>
      <c r="AE76" s="52">
        <f t="shared" si="131"/>
        <v>8045.8233833500408</v>
      </c>
      <c r="AF76" s="51">
        <f>SUM(T76:AE76)</f>
        <v>86581.209406596783</v>
      </c>
      <c r="AG76" s="52">
        <f t="shared" ref="AG76:AR76" si="132">AG61+AG62+AG63+AG64+AG68+AG69+AG71+AG72+AG74</f>
        <v>7919.9274594960298</v>
      </c>
      <c r="AH76" s="52">
        <f t="shared" si="132"/>
        <v>7711.0624891370298</v>
      </c>
      <c r="AI76" s="52">
        <f t="shared" si="132"/>
        <v>7957.1713916420304</v>
      </c>
      <c r="AJ76" s="52">
        <f t="shared" si="132"/>
        <v>7651.291008382881</v>
      </c>
      <c r="AK76" s="52">
        <f t="shared" si="132"/>
        <v>7395.6637662870298</v>
      </c>
      <c r="AL76" s="52">
        <f t="shared" si="132"/>
        <v>7363.8234802870302</v>
      </c>
      <c r="AM76" s="52">
        <f t="shared" si="132"/>
        <v>7194.7988229870298</v>
      </c>
      <c r="AN76" s="52">
        <f t="shared" si="132"/>
        <v>7082.2580256870297</v>
      </c>
      <c r="AO76" s="52">
        <f t="shared" si="132"/>
        <v>7230.5207274870299</v>
      </c>
      <c r="AP76" s="52">
        <f t="shared" si="132"/>
        <v>7039.665016797615</v>
      </c>
      <c r="AQ76" s="52">
        <f t="shared" si="132"/>
        <v>6847.1845312529204</v>
      </c>
      <c r="AR76" s="52">
        <f t="shared" si="132"/>
        <v>7368.7514853432585</v>
      </c>
      <c r="AS76" s="51">
        <f>SUM(AG76:AR76)</f>
        <v>88762.118204786908</v>
      </c>
      <c r="AT76" s="39">
        <f t="shared" ref="AT76:BE76" si="133">AT61+AT62+AT63+AT64+AT68+AT69+AT71+AT72+AT74</f>
        <v>7594.8798691173406</v>
      </c>
      <c r="AU76" s="39">
        <f t="shared" si="133"/>
        <v>7046.3145331148389</v>
      </c>
      <c r="AV76" s="39">
        <f t="shared" si="133"/>
        <v>7257.9073551070305</v>
      </c>
      <c r="AW76" s="39">
        <f t="shared" si="133"/>
        <v>6842.4993676081567</v>
      </c>
      <c r="AX76" s="39">
        <f t="shared" si="133"/>
        <v>6616.2509891587424</v>
      </c>
      <c r="AY76" s="39">
        <f t="shared" si="133"/>
        <v>6376.564535944025</v>
      </c>
      <c r="AZ76" s="39">
        <f t="shared" si="133"/>
        <v>5057.652478454751</v>
      </c>
      <c r="BA76" s="39">
        <f t="shared" si="133"/>
        <v>5163.4780439794986</v>
      </c>
      <c r="BB76" s="39">
        <f t="shared" si="133"/>
        <v>5256.7443676105786</v>
      </c>
      <c r="BC76" s="39">
        <f t="shared" si="133"/>
        <v>6418.4593472381775</v>
      </c>
      <c r="BD76" s="39">
        <f t="shared" si="133"/>
        <v>6464.6228426995185</v>
      </c>
      <c r="BE76" s="39">
        <f t="shared" si="133"/>
        <v>7048.1938184782985</v>
      </c>
      <c r="BF76" s="50">
        <f>SUM(AT76:BE76)</f>
        <v>77143.567548510939</v>
      </c>
      <c r="BG76" s="39">
        <f t="shared" ref="BG76:BR76" si="134">BG61+BG62+BG63+BG64+BG68+BG69+BG71+BG72+BG74</f>
        <v>6840.142256664546</v>
      </c>
      <c r="BH76" s="39">
        <f t="shared" si="134"/>
        <v>7080.4791740883747</v>
      </c>
      <c r="BI76" s="39">
        <f t="shared" si="134"/>
        <v>7458.6296844568551</v>
      </c>
      <c r="BJ76" s="39">
        <f t="shared" si="134"/>
        <v>7252.6258001600008</v>
      </c>
      <c r="BK76" s="39">
        <f t="shared" si="134"/>
        <v>7094.332238515467</v>
      </c>
      <c r="BL76" s="39">
        <f t="shared" si="134"/>
        <v>6865.7470095217868</v>
      </c>
      <c r="BM76" s="39">
        <f t="shared" si="134"/>
        <v>5237.3378578398842</v>
      </c>
      <c r="BN76" s="39">
        <f t="shared" si="134"/>
        <v>5182.7419606245667</v>
      </c>
      <c r="BO76" s="39">
        <f t="shared" si="134"/>
        <v>5103.4534404333554</v>
      </c>
      <c r="BP76" s="39">
        <f t="shared" si="134"/>
        <v>6693.6054517455441</v>
      </c>
      <c r="BQ76" s="39">
        <f t="shared" si="134"/>
        <v>7082.643942257826</v>
      </c>
      <c r="BR76" s="39">
        <f t="shared" si="134"/>
        <v>7122.5011213222624</v>
      </c>
      <c r="BS76" s="49">
        <f>SUM(BG76:BR76)</f>
        <v>79014.239937630467</v>
      </c>
      <c r="BT76" s="39">
        <v>7682.5527531965754</v>
      </c>
      <c r="BU76" s="39">
        <v>7483.0567461091405</v>
      </c>
      <c r="BV76" s="39">
        <v>7963.4050172932857</v>
      </c>
      <c r="BW76" s="39">
        <v>7193.1816385913107</v>
      </c>
      <c r="BX76" s="39">
        <v>7230.3533579550549</v>
      </c>
      <c r="BY76" s="39">
        <v>6843.2626437690269</v>
      </c>
      <c r="BZ76" s="39">
        <v>5202.1208610975091</v>
      </c>
      <c r="CA76" s="39">
        <v>5457.5134747915208</v>
      </c>
      <c r="CB76" s="39">
        <v>5327.9139838404635</v>
      </c>
      <c r="CC76" s="39">
        <v>6961.9389648170982</v>
      </c>
      <c r="CD76" s="39">
        <v>6933.2512835035986</v>
      </c>
      <c r="CE76" s="39">
        <v>7258.3439075368278</v>
      </c>
      <c r="CF76" s="48">
        <f>SUM(BT76:CE76)</f>
        <v>81536.894632501411</v>
      </c>
      <c r="CG76" s="38">
        <f t="shared" ref="CG76:CR76" si="135">CG61+CG62+CG63+CG64+CG68+CG69+CG71+CG72+CG74</f>
        <v>3831.7525653530079</v>
      </c>
      <c r="CH76" s="38">
        <f t="shared" si="135"/>
        <v>3831.7525653530079</v>
      </c>
      <c r="CI76" s="38">
        <f t="shared" si="135"/>
        <v>3831.7525653530079</v>
      </c>
      <c r="CJ76" s="38">
        <f t="shared" si="135"/>
        <v>3781.6885674164873</v>
      </c>
      <c r="CK76" s="38">
        <f t="shared" si="135"/>
        <v>3781.6885674164873</v>
      </c>
      <c r="CL76" s="38">
        <f t="shared" si="135"/>
        <v>3781.6885674164873</v>
      </c>
      <c r="CM76" s="38">
        <f t="shared" si="135"/>
        <v>4552.3333333333339</v>
      </c>
      <c r="CN76" s="38">
        <f t="shared" si="135"/>
        <v>4552.3333333333339</v>
      </c>
      <c r="CO76" s="38">
        <f t="shared" si="135"/>
        <v>4552.3333333333339</v>
      </c>
      <c r="CP76" s="38">
        <f t="shared" si="135"/>
        <v>4552.3333333333339</v>
      </c>
      <c r="CQ76" s="38">
        <f t="shared" si="135"/>
        <v>4552.3333333333339</v>
      </c>
      <c r="CR76" s="38">
        <f t="shared" si="135"/>
        <v>4552.3333333333339</v>
      </c>
      <c r="CS76" s="48">
        <f>SUM(CG76:CR76)</f>
        <v>50154.323398308501</v>
      </c>
    </row>
    <row r="77" spans="1:97" x14ac:dyDescent="0.15">
      <c r="D77" s="25"/>
      <c r="E77" s="47"/>
      <c r="F77" s="47"/>
      <c r="G77" s="36"/>
      <c r="H77" s="35"/>
      <c r="I77" s="35"/>
      <c r="J77" s="35"/>
      <c r="K77" s="35"/>
      <c r="L77" s="35"/>
      <c r="M77" s="35"/>
      <c r="N77" s="35"/>
      <c r="O77" s="35"/>
      <c r="P77" s="35"/>
      <c r="Q77" s="35"/>
      <c r="R77" s="36"/>
      <c r="S77" s="36"/>
      <c r="T77" s="36"/>
      <c r="U77" s="36"/>
      <c r="V77" s="36"/>
      <c r="W77" s="36"/>
      <c r="X77" s="36"/>
      <c r="Y77" s="36"/>
      <c r="Z77" s="36"/>
      <c r="AA77" s="36"/>
      <c r="AB77" s="36"/>
      <c r="AC77" s="36"/>
      <c r="AD77" s="36"/>
      <c r="AE77" s="36"/>
      <c r="AF77" s="36"/>
      <c r="AG77" s="36"/>
      <c r="AH77" s="32"/>
      <c r="AI77" s="32"/>
      <c r="AJ77" s="32"/>
      <c r="AK77" s="32"/>
      <c r="AL77" s="32"/>
      <c r="AM77" s="32"/>
      <c r="AN77" s="32"/>
      <c r="AO77" s="32"/>
      <c r="AP77" s="32"/>
      <c r="AQ77" s="32"/>
      <c r="AR77" s="32"/>
      <c r="AS77" s="36"/>
      <c r="AT77" s="26"/>
      <c r="BF77" s="46"/>
      <c r="BG77" s="26"/>
      <c r="BS77" s="45"/>
      <c r="BT77" s="38"/>
      <c r="BU77" s="44"/>
      <c r="BV77" s="44"/>
      <c r="BW77" s="44"/>
      <c r="BX77" s="44"/>
      <c r="BY77" s="44"/>
      <c r="BZ77" s="44"/>
      <c r="CA77" s="44"/>
      <c r="CB77" s="44"/>
      <c r="CC77" s="44"/>
      <c r="CD77" s="44"/>
      <c r="CE77" s="44"/>
      <c r="CF77" s="26"/>
      <c r="CG77" s="38"/>
      <c r="CH77" s="44"/>
      <c r="CI77" s="44"/>
      <c r="CJ77" s="44"/>
      <c r="CK77" s="44"/>
      <c r="CL77" s="44"/>
      <c r="CM77" s="44"/>
      <c r="CN77" s="44"/>
      <c r="CO77" s="44"/>
      <c r="CP77" s="44"/>
      <c r="CQ77" s="44"/>
      <c r="CR77" s="44"/>
      <c r="CS77" s="26"/>
    </row>
    <row r="78" spans="1:97" ht="16" x14ac:dyDescent="0.2">
      <c r="A78" s="43" t="s">
        <v>34</v>
      </c>
      <c r="D78" s="25"/>
      <c r="E78" s="42">
        <f t="shared" ref="E78:R78" si="136">E38+E57+E76</f>
        <v>226003.43</v>
      </c>
      <c r="F78" s="42">
        <f t="shared" si="136"/>
        <v>201968.44597</v>
      </c>
      <c r="G78" s="36">
        <f t="shared" si="136"/>
        <v>20353.898204046964</v>
      </c>
      <c r="H78" s="36">
        <f t="shared" si="136"/>
        <v>20453.749020274474</v>
      </c>
      <c r="I78" s="36">
        <f t="shared" si="136"/>
        <v>19165.527392652526</v>
      </c>
      <c r="J78" s="36">
        <f t="shared" si="136"/>
        <v>17621.921705547615</v>
      </c>
      <c r="K78" s="36">
        <f t="shared" si="136"/>
        <v>15249.998915047814</v>
      </c>
      <c r="L78" s="36">
        <f t="shared" si="136"/>
        <v>13879.752088168683</v>
      </c>
      <c r="M78" s="36">
        <f t="shared" si="136"/>
        <v>13253.197042972788</v>
      </c>
      <c r="N78" s="36">
        <f t="shared" si="136"/>
        <v>13499.042926331291</v>
      </c>
      <c r="O78" s="36">
        <f t="shared" si="136"/>
        <v>13708.009986497711</v>
      </c>
      <c r="P78" s="36">
        <f t="shared" si="136"/>
        <v>16223.681154354883</v>
      </c>
      <c r="Q78" s="36">
        <f t="shared" si="136"/>
        <v>19873.09823498343</v>
      </c>
      <c r="R78" s="36">
        <f t="shared" si="136"/>
        <v>20861.390358655262</v>
      </c>
      <c r="S78" s="42">
        <f>SUM(G78:R78)</f>
        <v>204143.26702953345</v>
      </c>
      <c r="T78" s="36">
        <f t="shared" ref="T78:AE78" si="137">T38+T57+T76</f>
        <v>22480.645656864326</v>
      </c>
      <c r="U78" s="36">
        <f t="shared" si="137"/>
        <v>18628.865607880416</v>
      </c>
      <c r="V78" s="36">
        <f t="shared" si="137"/>
        <v>17815.439450250939</v>
      </c>
      <c r="W78" s="36">
        <f t="shared" si="137"/>
        <v>16810.086276315458</v>
      </c>
      <c r="X78" s="36">
        <f t="shared" si="137"/>
        <v>14978.868785451983</v>
      </c>
      <c r="Y78" s="36">
        <f t="shared" si="137"/>
        <v>13689.132694924858</v>
      </c>
      <c r="Z78" s="36">
        <f t="shared" si="137"/>
        <v>12767.485395943038</v>
      </c>
      <c r="AA78" s="36">
        <f t="shared" si="137"/>
        <v>12742.787547582409</v>
      </c>
      <c r="AB78" s="36">
        <f t="shared" si="137"/>
        <v>13357.732734755564</v>
      </c>
      <c r="AC78" s="36">
        <f t="shared" si="137"/>
        <v>16600.906517070471</v>
      </c>
      <c r="AD78" s="36">
        <f t="shared" si="137"/>
        <v>19067.038952757284</v>
      </c>
      <c r="AE78" s="36">
        <f t="shared" si="137"/>
        <v>21627.7367495539</v>
      </c>
      <c r="AF78" s="42">
        <f>SUM(T78:AE78)</f>
        <v>200566.72636935062</v>
      </c>
      <c r="AG78" s="36">
        <f t="shared" ref="AG78:AR78" si="138">AG38+AG57+AG76</f>
        <v>23089.459935841041</v>
      </c>
      <c r="AH78" s="36">
        <f t="shared" si="138"/>
        <v>19336.948992394213</v>
      </c>
      <c r="AI78" s="36">
        <f t="shared" si="138"/>
        <v>19938.663894370144</v>
      </c>
      <c r="AJ78" s="36">
        <f t="shared" si="138"/>
        <v>18340.158295549554</v>
      </c>
      <c r="AK78" s="36">
        <f t="shared" si="138"/>
        <v>15721.174427788752</v>
      </c>
      <c r="AL78" s="36">
        <f t="shared" si="138"/>
        <v>15008.290367327512</v>
      </c>
      <c r="AM78" s="36">
        <f t="shared" si="138"/>
        <v>13522.09376812576</v>
      </c>
      <c r="AN78" s="36">
        <f t="shared" si="138"/>
        <v>12790.259846185461</v>
      </c>
      <c r="AO78" s="36">
        <f t="shared" si="138"/>
        <v>13660.880919249612</v>
      </c>
      <c r="AP78" s="36">
        <f t="shared" si="138"/>
        <v>16200.30621783549</v>
      </c>
      <c r="AQ78" s="36">
        <f t="shared" si="138"/>
        <v>16710.037062722724</v>
      </c>
      <c r="AR78" s="36">
        <f t="shared" si="138"/>
        <v>22494.618603440715</v>
      </c>
      <c r="AS78" s="42">
        <f>SUM(AG78:AR78)</f>
        <v>206812.89233083097</v>
      </c>
      <c r="AT78" s="26">
        <f t="shared" ref="AT78:BE78" si="139">AT38+AT57+AT76</f>
        <v>21326.425065286123</v>
      </c>
      <c r="AU78" s="26">
        <f t="shared" si="139"/>
        <v>18915.069347837674</v>
      </c>
      <c r="AV78" s="26">
        <f t="shared" si="139"/>
        <v>19664.051373889808</v>
      </c>
      <c r="AW78" s="26">
        <f t="shared" si="139"/>
        <v>16522.853009978971</v>
      </c>
      <c r="AX78" s="26">
        <f t="shared" si="139"/>
        <v>15012.246267689916</v>
      </c>
      <c r="AY78" s="26">
        <f t="shared" si="139"/>
        <v>13042.005955037464</v>
      </c>
      <c r="AZ78" s="26">
        <f t="shared" si="139"/>
        <v>11410.372117839623</v>
      </c>
      <c r="BA78" s="26">
        <f t="shared" si="139"/>
        <v>10903.347386923539</v>
      </c>
      <c r="BB78" s="26">
        <f t="shared" si="139"/>
        <v>11381.50070461428</v>
      </c>
      <c r="BC78" s="26">
        <f t="shared" si="139"/>
        <v>14826.061667053091</v>
      </c>
      <c r="BD78" s="26">
        <f t="shared" si="139"/>
        <v>16472.747511164682</v>
      </c>
      <c r="BE78" s="26">
        <f t="shared" si="139"/>
        <v>20728.785131569271</v>
      </c>
      <c r="BF78" s="41">
        <f>SUM(AT78:BE78)</f>
        <v>190205.46553888445</v>
      </c>
      <c r="BG78" s="26">
        <f t="shared" ref="BG78:BR78" si="140">BG38+BG57+BG76</f>
        <v>17668.062916307765</v>
      </c>
      <c r="BH78" s="26">
        <f t="shared" si="140"/>
        <v>16948.658520177141</v>
      </c>
      <c r="BI78" s="26">
        <f t="shared" si="140"/>
        <v>17682.319781114064</v>
      </c>
      <c r="BJ78" s="26">
        <f t="shared" si="140"/>
        <v>16572.12337542533</v>
      </c>
      <c r="BK78" s="26">
        <f t="shared" si="140"/>
        <v>15791.341690001671</v>
      </c>
      <c r="BL78" s="26">
        <f t="shared" si="140"/>
        <v>14203.306774263185</v>
      </c>
      <c r="BM78" s="26">
        <f t="shared" si="140"/>
        <v>11427.636883407202</v>
      </c>
      <c r="BN78" s="26">
        <f t="shared" si="140"/>
        <v>10836.998916269145</v>
      </c>
      <c r="BO78" s="26">
        <f t="shared" si="140"/>
        <v>11141.892239351353</v>
      </c>
      <c r="BP78" s="26">
        <f t="shared" si="140"/>
        <v>14718.118126474701</v>
      </c>
      <c r="BQ78" s="26">
        <f t="shared" si="140"/>
        <v>17994.440354376406</v>
      </c>
      <c r="BR78" s="26">
        <f t="shared" si="140"/>
        <v>18902.579525518857</v>
      </c>
      <c r="BS78" s="40">
        <f>SUM(BG78:BR78)</f>
        <v>183887.47910268686</v>
      </c>
      <c r="BT78" s="39">
        <v>19928.448409538574</v>
      </c>
      <c r="BU78" s="39">
        <v>19781.705901177367</v>
      </c>
      <c r="BV78" s="39">
        <v>18998.584520026197</v>
      </c>
      <c r="BW78" s="39">
        <v>17233.404740674607</v>
      </c>
      <c r="BX78" s="39">
        <v>15320.092230355209</v>
      </c>
      <c r="BY78" s="39">
        <v>13516.015443214728</v>
      </c>
      <c r="BZ78" s="39">
        <v>11371.326601973273</v>
      </c>
      <c r="CA78" s="39">
        <v>11087.333750801898</v>
      </c>
      <c r="CB78" s="39">
        <v>11103.163167144958</v>
      </c>
      <c r="CC78" s="39">
        <v>15279.172294964817</v>
      </c>
      <c r="CD78" s="39">
        <v>17737.887164657546</v>
      </c>
      <c r="CE78" s="39">
        <v>19364.454843722218</v>
      </c>
      <c r="CF78" s="37">
        <f>SUM(BT78:CE78)</f>
        <v>190721.5890682514</v>
      </c>
      <c r="CG78" s="38">
        <f t="shared" ref="CG78:CR78" si="141">CG38+CG57+CG76</f>
        <v>4628.0337714192619</v>
      </c>
      <c r="CH78" s="38">
        <f t="shared" si="141"/>
        <v>4628.0337714192619</v>
      </c>
      <c r="CI78" s="38">
        <f t="shared" si="141"/>
        <v>4628.0337714192619</v>
      </c>
      <c r="CJ78" s="38">
        <f t="shared" si="141"/>
        <v>4577.9697734827414</v>
      </c>
      <c r="CK78" s="38">
        <f t="shared" si="141"/>
        <v>4577.9697734827414</v>
      </c>
      <c r="CL78" s="38">
        <f t="shared" si="141"/>
        <v>4577.9697734827414</v>
      </c>
      <c r="CM78" s="38">
        <f t="shared" si="141"/>
        <v>5348.6145393995876</v>
      </c>
      <c r="CN78" s="38">
        <f t="shared" si="141"/>
        <v>5348.6145393995876</v>
      </c>
      <c r="CO78" s="38">
        <f t="shared" si="141"/>
        <v>5348.6145393995876</v>
      </c>
      <c r="CP78" s="38">
        <f t="shared" si="141"/>
        <v>5348.6145393995876</v>
      </c>
      <c r="CQ78" s="38">
        <f t="shared" si="141"/>
        <v>5348.6145393995876</v>
      </c>
      <c r="CR78" s="38">
        <f t="shared" si="141"/>
        <v>5348.6145393995876</v>
      </c>
      <c r="CS78" s="37">
        <f>SUM(CG78:CR78)</f>
        <v>59709.697871103555</v>
      </c>
    </row>
    <row r="79" spans="1:97" x14ac:dyDescent="0.15">
      <c r="A79" s="31" t="s">
        <v>35</v>
      </c>
      <c r="D79" s="25"/>
      <c r="E79" s="35"/>
      <c r="F79" s="35"/>
      <c r="G79" s="36"/>
      <c r="H79" s="35"/>
      <c r="I79" s="35"/>
      <c r="J79" s="35"/>
      <c r="K79" s="35"/>
      <c r="L79" s="35"/>
      <c r="M79" s="35"/>
      <c r="N79" s="35"/>
      <c r="O79" s="35"/>
      <c r="P79" s="35"/>
      <c r="Q79" s="35"/>
      <c r="R79" s="35"/>
      <c r="S79" s="35"/>
      <c r="T79" s="35"/>
      <c r="U79" s="35"/>
      <c r="V79" s="35"/>
      <c r="W79" s="35"/>
      <c r="X79" s="35"/>
      <c r="Y79" s="33">
        <f>SUM(M78:R78)+SUM(T78:Y78)</f>
        <v>201821.45817548333</v>
      </c>
      <c r="Z79" s="35"/>
      <c r="AA79" s="35"/>
      <c r="AB79" s="35"/>
      <c r="AC79" s="35"/>
      <c r="AD79" s="35"/>
      <c r="AE79" s="35"/>
      <c r="AF79" s="32"/>
      <c r="AG79" s="35"/>
      <c r="AH79" s="32"/>
      <c r="AI79" s="32"/>
      <c r="AJ79" s="32"/>
      <c r="AK79" s="32"/>
      <c r="AL79" s="33">
        <f>SUM(Z78:AE78)+SUM(AG78:AL78)</f>
        <v>207598.38381093385</v>
      </c>
      <c r="AM79" s="34" t="s">
        <v>63</v>
      </c>
      <c r="AN79" s="32"/>
      <c r="AO79" s="33">
        <f>SUM(AC78:AE78)+SUM(AG78:AO78)</f>
        <v>208703.61266621368</v>
      </c>
      <c r="AP79" s="32"/>
      <c r="AQ79" s="32"/>
      <c r="AR79" s="33">
        <f>SUM(AG78:AR78)</f>
        <v>206812.89233083097</v>
      </c>
      <c r="AS79" s="32"/>
      <c r="AT79" s="25"/>
      <c r="AV79" s="23">
        <f>SUM(AJ78:AR78)+SUM(AT78:AV78)</f>
        <v>204353.3652952392</v>
      </c>
      <c r="AY79" s="23">
        <f>SUM(AM78:AR78)+SUM(AT78:AY78)</f>
        <v>199860.84743727971</v>
      </c>
      <c r="AZ79" s="29"/>
      <c r="BB79" s="23">
        <f>SUM(AP78:AR78)+SUM(AT78:BB78)</f>
        <v>193582.83311309631</v>
      </c>
      <c r="BE79" s="23">
        <f>SUM(AT78:BE78)</f>
        <v>190205.46553888445</v>
      </c>
      <c r="BG79" s="25"/>
      <c r="BI79" s="23">
        <f>SUM(AW78:BE78)+SUM(BG78:BI78)</f>
        <v>182598.9609694698</v>
      </c>
      <c r="BL79" s="23">
        <f>SUM(AZ78:BE78)+SUM(BG78:BL78)</f>
        <v>184588.62757645361</v>
      </c>
      <c r="BO79" s="23">
        <f>SUM(BC78:BE78)+SUM(BG78:BO78)</f>
        <v>184299.9354061039</v>
      </c>
      <c r="BR79" s="23">
        <f>SUM(BG78:BR78)</f>
        <v>183887.47910268686</v>
      </c>
      <c r="BT79" s="25"/>
      <c r="BV79" s="23">
        <f>SUM(BJ78:BR78)+SUM(BT78:BV78)</f>
        <v>190297.17671582999</v>
      </c>
      <c r="BY79" s="23">
        <f>SUM(BM78:BR78)+SUM(BT78:BY78)</f>
        <v>189799.91729038436</v>
      </c>
      <c r="CB79" s="23">
        <f>SUM(BP78:BR78)+SUM(BT78:CB78)</f>
        <v>189955.21277127677</v>
      </c>
      <c r="CE79" s="23">
        <f>SUM(BT78:CE78)</f>
        <v>190721.5890682514</v>
      </c>
      <c r="CG79" s="25"/>
      <c r="CI79" s="23">
        <f>SUM(BW78:CE78)+SUM(CG78:CI78)</f>
        <v>145896.95155176701</v>
      </c>
      <c r="CL79" s="23">
        <f>SUM(BZ78:CE78)+SUM(CG78:CL78)</f>
        <v>113561.34845797071</v>
      </c>
      <c r="CO79" s="23">
        <f>SUM(CC78:CE78)+SUM(CG78:CO78)</f>
        <v>96045.368556249363</v>
      </c>
      <c r="CR79" s="23">
        <f>SUM(CG78:CR78)</f>
        <v>59709.697871103555</v>
      </c>
    </row>
    <row r="80" spans="1:97" x14ac:dyDescent="0.15">
      <c r="A80" s="31"/>
      <c r="D80" s="25"/>
      <c r="E80" s="25"/>
      <c r="F80" s="25"/>
      <c r="G80" s="26"/>
      <c r="H80" s="25"/>
      <c r="I80" s="25"/>
      <c r="J80" s="25"/>
      <c r="K80" s="25"/>
      <c r="L80" s="25"/>
      <c r="M80" s="25"/>
      <c r="N80" s="25"/>
      <c r="O80" s="25"/>
      <c r="P80" s="25"/>
      <c r="Q80" s="25"/>
      <c r="R80" s="25"/>
      <c r="S80" s="25"/>
      <c r="T80" s="25"/>
      <c r="U80" s="25"/>
      <c r="V80" s="25"/>
      <c r="W80" s="25"/>
      <c r="X80" s="25"/>
      <c r="Y80" s="23"/>
      <c r="Z80" s="26">
        <f t="shared" ref="Z80:AE80" si="142">Z38+Z57</f>
        <v>6000.9401698104093</v>
      </c>
      <c r="AA80" s="26">
        <f t="shared" si="142"/>
        <v>5973.8210457727801</v>
      </c>
      <c r="AB80" s="26">
        <f t="shared" si="142"/>
        <v>6641.330427680934</v>
      </c>
      <c r="AC80" s="26">
        <f t="shared" si="142"/>
        <v>8995.0370180554291</v>
      </c>
      <c r="AD80" s="26">
        <f t="shared" si="142"/>
        <v>11348.855994756243</v>
      </c>
      <c r="AE80" s="26">
        <f t="shared" si="142"/>
        <v>13581.913366203858</v>
      </c>
      <c r="AG80" s="26">
        <f t="shared" ref="AG80:AR80" si="143">AG38+AG57</f>
        <v>15169.532476345013</v>
      </c>
      <c r="AH80" s="26">
        <f t="shared" si="143"/>
        <v>11625.886503257183</v>
      </c>
      <c r="AI80" s="26">
        <f t="shared" si="143"/>
        <v>11981.492502728113</v>
      </c>
      <c r="AJ80" s="26">
        <f t="shared" si="143"/>
        <v>10688.867287166673</v>
      </c>
      <c r="AK80" s="26">
        <f t="shared" si="143"/>
        <v>8325.5106615017212</v>
      </c>
      <c r="AL80" s="26">
        <f t="shared" si="143"/>
        <v>7644.4668870404821</v>
      </c>
      <c r="AM80" s="26">
        <f t="shared" si="143"/>
        <v>6327.2949451387312</v>
      </c>
      <c r="AN80" s="26">
        <f t="shared" si="143"/>
        <v>5708.0018204984317</v>
      </c>
      <c r="AO80" s="26">
        <f t="shared" si="143"/>
        <v>6430.3601917625811</v>
      </c>
      <c r="AP80" s="26">
        <f t="shared" si="143"/>
        <v>9160.6412010378754</v>
      </c>
      <c r="AQ80" s="26">
        <f t="shared" si="143"/>
        <v>9862.8525314698054</v>
      </c>
      <c r="AR80" s="26">
        <f t="shared" si="143"/>
        <v>15125.867118097456</v>
      </c>
      <c r="AT80" s="26">
        <f t="shared" ref="AT80:BE80" si="144">AT38+AT57</f>
        <v>13731.545196168781</v>
      </c>
      <c r="AU80" s="26">
        <f t="shared" si="144"/>
        <v>11868.754814722835</v>
      </c>
      <c r="AV80" s="26">
        <f t="shared" si="144"/>
        <v>12406.144018782776</v>
      </c>
      <c r="AW80" s="26">
        <f t="shared" si="144"/>
        <v>9680.3536423708138</v>
      </c>
      <c r="AX80" s="26">
        <f t="shared" si="144"/>
        <v>8395.9952785311725</v>
      </c>
      <c r="AY80" s="26">
        <f t="shared" si="144"/>
        <v>6665.4414190934403</v>
      </c>
      <c r="AZ80" s="26">
        <f t="shared" si="144"/>
        <v>6352.7196393848717</v>
      </c>
      <c r="BA80" s="26">
        <f t="shared" si="144"/>
        <v>5739.86934294404</v>
      </c>
      <c r="BB80" s="26">
        <f t="shared" si="144"/>
        <v>6124.7563370037014</v>
      </c>
      <c r="BC80" s="26">
        <f t="shared" si="144"/>
        <v>8407.6023198149123</v>
      </c>
      <c r="BD80" s="26">
        <f t="shared" si="144"/>
        <v>10008.124668465163</v>
      </c>
      <c r="BE80" s="26">
        <f t="shared" si="144"/>
        <v>13680.591313090972</v>
      </c>
      <c r="BG80" s="26">
        <f t="shared" ref="BG80:BR80" si="145">BG38+BG57</f>
        <v>10827.92065964322</v>
      </c>
      <c r="BH80" s="26">
        <f t="shared" si="145"/>
        <v>9868.1793460887675</v>
      </c>
      <c r="BI80" s="26">
        <f t="shared" si="145"/>
        <v>10223.69009665721</v>
      </c>
      <c r="BJ80" s="26">
        <f t="shared" si="145"/>
        <v>9319.4975752653281</v>
      </c>
      <c r="BK80" s="26">
        <f t="shared" si="145"/>
        <v>8697.0094514862049</v>
      </c>
      <c r="BL80" s="26">
        <f t="shared" si="145"/>
        <v>7337.5597647413979</v>
      </c>
      <c r="BM80" s="26">
        <f t="shared" si="145"/>
        <v>6190.2990255673185</v>
      </c>
      <c r="BN80" s="26">
        <f t="shared" si="145"/>
        <v>5654.2569556445778</v>
      </c>
      <c r="BO80" s="26">
        <f t="shared" si="145"/>
        <v>6038.4387989179986</v>
      </c>
      <c r="BP80" s="26">
        <f t="shared" si="145"/>
        <v>8024.512674729157</v>
      </c>
      <c r="BQ80" s="26">
        <f t="shared" si="145"/>
        <v>10911.79641211858</v>
      </c>
      <c r="BR80" s="26">
        <f t="shared" si="145"/>
        <v>11780.078404196596</v>
      </c>
      <c r="BT80" s="26">
        <f t="shared" ref="BT80:CD80" si="146">BT38+BT57</f>
        <v>12245.895656341998</v>
      </c>
      <c r="BU80" s="26">
        <f t="shared" si="146"/>
        <v>12298.649155068226</v>
      </c>
      <c r="BV80" s="26">
        <f t="shared" si="146"/>
        <v>11035.179502732914</v>
      </c>
      <c r="BW80" s="26">
        <f t="shared" si="146"/>
        <v>10040.223102083297</v>
      </c>
      <c r="BX80" s="26">
        <f t="shared" si="146"/>
        <v>8089.7388724001539</v>
      </c>
      <c r="BY80" s="26">
        <f t="shared" si="146"/>
        <v>6672.7527994457023</v>
      </c>
      <c r="BZ80" s="26">
        <f t="shared" si="146"/>
        <v>6169.2057408757637</v>
      </c>
      <c r="CA80" s="26">
        <f t="shared" si="146"/>
        <v>5629.8202760103768</v>
      </c>
      <c r="CB80" s="26">
        <f t="shared" si="146"/>
        <v>5775.2491833044933</v>
      </c>
      <c r="CC80" s="26">
        <f t="shared" si="146"/>
        <v>8317.2333301477192</v>
      </c>
      <c r="CD80" s="26">
        <f t="shared" si="146"/>
        <v>10804.635881153947</v>
      </c>
      <c r="CE80" s="23"/>
      <c r="CG80" s="26">
        <f t="shared" ref="CG80:CQ80" si="147">CG38+CG57</f>
        <v>796.28120606625373</v>
      </c>
      <c r="CH80" s="26">
        <f t="shared" si="147"/>
        <v>796.28120606625373</v>
      </c>
      <c r="CI80" s="26">
        <f t="shared" si="147"/>
        <v>796.28120606625373</v>
      </c>
      <c r="CJ80" s="26">
        <f t="shared" si="147"/>
        <v>796.28120606625373</v>
      </c>
      <c r="CK80" s="26">
        <f t="shared" si="147"/>
        <v>796.28120606625373</v>
      </c>
      <c r="CL80" s="26">
        <f t="shared" si="147"/>
        <v>796.28120606625373</v>
      </c>
      <c r="CM80" s="26">
        <f t="shared" si="147"/>
        <v>796.28120606625373</v>
      </c>
      <c r="CN80" s="26">
        <f t="shared" si="147"/>
        <v>796.28120606625373</v>
      </c>
      <c r="CO80" s="26">
        <f t="shared" si="147"/>
        <v>796.28120606625373</v>
      </c>
      <c r="CP80" s="26">
        <f t="shared" si="147"/>
        <v>796.28120606625373</v>
      </c>
      <c r="CQ80" s="26">
        <f t="shared" si="147"/>
        <v>796.28120606625373</v>
      </c>
      <c r="CR80" s="23"/>
    </row>
    <row r="81" spans="4:95" x14ac:dyDescent="0.15">
      <c r="D81" s="25"/>
      <c r="E81" s="25"/>
      <c r="F81" s="25"/>
      <c r="G81" s="26"/>
      <c r="H81" s="25"/>
      <c r="I81" s="25"/>
      <c r="J81" s="25"/>
      <c r="K81" s="25"/>
      <c r="L81" s="25"/>
      <c r="M81" s="25"/>
      <c r="N81" s="25"/>
      <c r="O81" s="25"/>
      <c r="P81" s="25"/>
      <c r="Q81" s="25"/>
      <c r="R81" s="25"/>
      <c r="S81" s="25"/>
      <c r="T81" s="25"/>
      <c r="U81" s="25"/>
      <c r="V81" s="25"/>
      <c r="W81" s="25"/>
      <c r="X81" s="25"/>
      <c r="Y81" s="25"/>
      <c r="Z81" s="26"/>
      <c r="AA81" s="26"/>
      <c r="AB81" s="26"/>
      <c r="AC81" s="26"/>
      <c r="AD81" s="26"/>
      <c r="AE81" s="26"/>
      <c r="AG81" s="26"/>
      <c r="AH81" s="26"/>
      <c r="AI81" s="26"/>
      <c r="AJ81" s="26"/>
      <c r="AK81" s="26"/>
      <c r="AL81" s="23">
        <f>SUM(Z80:AE80)+SUM(AG80:AL80)</f>
        <v>117977.65434031884</v>
      </c>
      <c r="AM81" s="29" t="s">
        <v>62</v>
      </c>
      <c r="AN81" s="26"/>
      <c r="AO81" s="23">
        <f>SUM(AC80:AE80)+SUM(AG80:AO80)</f>
        <v>117827.21965445446</v>
      </c>
      <c r="AP81" s="29" t="s">
        <v>62</v>
      </c>
      <c r="AQ81" s="26"/>
      <c r="AR81" s="23">
        <f>SUM(AG80:AR80)</f>
        <v>118050.77412604407</v>
      </c>
      <c r="AS81" s="29" t="s">
        <v>62</v>
      </c>
      <c r="AT81" s="26"/>
      <c r="AU81" s="26"/>
      <c r="AV81" s="23">
        <f>SUM(AJ80:AR80)+SUM(AT80:AV80)</f>
        <v>117280.30667338814</v>
      </c>
      <c r="AW81" s="29" t="s">
        <v>62</v>
      </c>
      <c r="AX81" s="26"/>
      <c r="AY81" s="23">
        <f>SUM(AM80:AR80)+SUM(AT80:AY80)</f>
        <v>115363.2521776747</v>
      </c>
      <c r="AZ81" s="29" t="s">
        <v>62</v>
      </c>
      <c r="BB81" s="23">
        <f>SUM(AP80:AR80)+SUM(AT80:BB80)</f>
        <v>115114.94053960757</v>
      </c>
      <c r="BC81" s="29" t="s">
        <v>62</v>
      </c>
      <c r="BE81" s="23">
        <f>SUM(AT80:BE80)</f>
        <v>113061.8979903735</v>
      </c>
      <c r="BF81" s="29" t="s">
        <v>62</v>
      </c>
      <c r="BI81" s="23">
        <f>SUM(AW80:BE80)+SUM(BG80:BI80)</f>
        <v>105975.24406308829</v>
      </c>
      <c r="BJ81" s="29" t="s">
        <v>62</v>
      </c>
      <c r="BL81" s="23">
        <f>SUM(AZ80:BE80)+SUM(BG80:BL80)</f>
        <v>106587.52051458579</v>
      </c>
      <c r="BM81" s="29" t="s">
        <v>62</v>
      </c>
      <c r="BO81" s="23">
        <f>SUM(BC80:BE80)+SUM(BG80:BO80)</f>
        <v>106253.16997538308</v>
      </c>
      <c r="BP81" s="29" t="s">
        <v>62</v>
      </c>
      <c r="BR81" s="23">
        <f>SUM(BG80:BR80)</f>
        <v>104873.23916505635</v>
      </c>
      <c r="BS81" s="29" t="s">
        <v>62</v>
      </c>
      <c r="BV81" s="23">
        <f>SUM(BJ80:BR80)+SUM(BT80:BV80)</f>
        <v>109533.17337681029</v>
      </c>
      <c r="BW81" s="29" t="s">
        <v>62</v>
      </c>
      <c r="BY81" s="23">
        <f>SUM(BM80:BR80)+SUM(BT80:BY80)</f>
        <v>108981.82135924652</v>
      </c>
      <c r="BZ81" s="29" t="s">
        <v>62</v>
      </c>
      <c r="CB81" s="23">
        <f>SUM(BP80:BR80)+SUM(BT80:CB80)</f>
        <v>108673.10177930727</v>
      </c>
      <c r="CC81" s="29" t="s">
        <v>62</v>
      </c>
      <c r="CI81" s="23">
        <f>SUM(BW80:CE80)+SUM(CG80:CI80)</f>
        <v>63887.70280362021</v>
      </c>
      <c r="CJ81" s="29" t="s">
        <v>62</v>
      </c>
      <c r="CL81" s="23">
        <f>SUM(BZ80:CE80)+SUM(CG80:CL80)</f>
        <v>41473.83164788982</v>
      </c>
      <c r="CM81" s="29" t="s">
        <v>62</v>
      </c>
      <c r="CO81" s="23">
        <f>SUM(CC80:CE80)+SUM(CG80:CO80)</f>
        <v>26288.400065897949</v>
      </c>
      <c r="CP81" s="29" t="s">
        <v>62</v>
      </c>
    </row>
    <row r="82" spans="4:95" x14ac:dyDescent="0.15">
      <c r="D82" s="25"/>
      <c r="E82" s="25"/>
      <c r="F82" s="25"/>
      <c r="G82" s="26"/>
      <c r="H82" s="25"/>
      <c r="I82" s="25"/>
      <c r="J82" s="25"/>
      <c r="K82" s="25"/>
      <c r="L82" s="25"/>
      <c r="M82" s="25"/>
      <c r="N82" s="25"/>
      <c r="O82" s="25"/>
      <c r="P82" s="25"/>
      <c r="Q82" s="25"/>
      <c r="R82" s="25"/>
      <c r="S82" s="25"/>
      <c r="T82" s="25"/>
      <c r="U82" s="25"/>
      <c r="V82" s="25"/>
      <c r="W82" s="25"/>
      <c r="X82" s="25"/>
      <c r="Y82" s="25"/>
      <c r="Z82" s="26">
        <f t="shared" ref="Z82:AE82" si="148">Z76</f>
        <v>6766.5452261326291</v>
      </c>
      <c r="AA82" s="26">
        <f t="shared" si="148"/>
        <v>6768.9665018096293</v>
      </c>
      <c r="AB82" s="26">
        <f t="shared" si="148"/>
        <v>6716.4023070746298</v>
      </c>
      <c r="AC82" s="26">
        <f t="shared" si="148"/>
        <v>7605.8694990150407</v>
      </c>
      <c r="AD82" s="26">
        <f t="shared" si="148"/>
        <v>7718.1829580010408</v>
      </c>
      <c r="AE82" s="26">
        <f t="shared" si="148"/>
        <v>8045.8233833500408</v>
      </c>
      <c r="AF82" s="26"/>
      <c r="AG82" s="26">
        <f t="shared" ref="AG82:AR82" si="149">AG76</f>
        <v>7919.9274594960298</v>
      </c>
      <c r="AH82" s="26">
        <f t="shared" si="149"/>
        <v>7711.0624891370298</v>
      </c>
      <c r="AI82" s="26">
        <f t="shared" si="149"/>
        <v>7957.1713916420304</v>
      </c>
      <c r="AJ82" s="26">
        <f t="shared" si="149"/>
        <v>7651.291008382881</v>
      </c>
      <c r="AK82" s="26">
        <f t="shared" si="149"/>
        <v>7395.6637662870298</v>
      </c>
      <c r="AL82" s="26">
        <f t="shared" si="149"/>
        <v>7363.8234802870302</v>
      </c>
      <c r="AM82" s="26">
        <f t="shared" si="149"/>
        <v>7194.7988229870298</v>
      </c>
      <c r="AN82" s="26">
        <f t="shared" si="149"/>
        <v>7082.2580256870297</v>
      </c>
      <c r="AO82" s="26">
        <f t="shared" si="149"/>
        <v>7230.5207274870299</v>
      </c>
      <c r="AP82" s="26">
        <f t="shared" si="149"/>
        <v>7039.665016797615</v>
      </c>
      <c r="AQ82" s="26">
        <f t="shared" si="149"/>
        <v>6847.1845312529204</v>
      </c>
      <c r="AR82" s="26">
        <f t="shared" si="149"/>
        <v>7368.7514853432585</v>
      </c>
      <c r="AS82" s="26"/>
      <c r="AT82" s="26">
        <f t="shared" ref="AT82:BE82" si="150">AT76</f>
        <v>7594.8798691173406</v>
      </c>
      <c r="AU82" s="26">
        <f t="shared" si="150"/>
        <v>7046.3145331148389</v>
      </c>
      <c r="AV82" s="26">
        <f t="shared" si="150"/>
        <v>7257.9073551070305</v>
      </c>
      <c r="AW82" s="26">
        <f t="shared" si="150"/>
        <v>6842.4993676081567</v>
      </c>
      <c r="AX82" s="26">
        <f t="shared" si="150"/>
        <v>6616.2509891587424</v>
      </c>
      <c r="AY82" s="26">
        <f t="shared" si="150"/>
        <v>6376.564535944025</v>
      </c>
      <c r="AZ82" s="26">
        <f t="shared" si="150"/>
        <v>5057.652478454751</v>
      </c>
      <c r="BA82" s="26">
        <f t="shared" si="150"/>
        <v>5163.4780439794986</v>
      </c>
      <c r="BB82" s="26">
        <f t="shared" si="150"/>
        <v>5256.7443676105786</v>
      </c>
      <c r="BC82" s="26">
        <f t="shared" si="150"/>
        <v>6418.4593472381775</v>
      </c>
      <c r="BD82" s="26">
        <f t="shared" si="150"/>
        <v>6464.6228426995185</v>
      </c>
      <c r="BE82" s="26">
        <f t="shared" si="150"/>
        <v>7048.1938184782985</v>
      </c>
      <c r="BG82" s="26">
        <f t="shared" ref="BG82:BR82" si="151">BG76</f>
        <v>6840.142256664546</v>
      </c>
      <c r="BH82" s="26">
        <f t="shared" si="151"/>
        <v>7080.4791740883747</v>
      </c>
      <c r="BI82" s="26">
        <f t="shared" si="151"/>
        <v>7458.6296844568551</v>
      </c>
      <c r="BJ82" s="26">
        <f t="shared" si="151"/>
        <v>7252.6258001600008</v>
      </c>
      <c r="BK82" s="26">
        <f t="shared" si="151"/>
        <v>7094.332238515467</v>
      </c>
      <c r="BL82" s="26">
        <f t="shared" si="151"/>
        <v>6865.7470095217868</v>
      </c>
      <c r="BM82" s="26">
        <f t="shared" si="151"/>
        <v>5237.3378578398842</v>
      </c>
      <c r="BN82" s="26">
        <f t="shared" si="151"/>
        <v>5182.7419606245667</v>
      </c>
      <c r="BO82" s="26">
        <f t="shared" si="151"/>
        <v>5103.4534404333554</v>
      </c>
      <c r="BP82" s="26">
        <f t="shared" si="151"/>
        <v>6693.6054517455441</v>
      </c>
      <c r="BQ82" s="26">
        <f t="shared" si="151"/>
        <v>7082.643942257826</v>
      </c>
      <c r="BR82" s="26">
        <f t="shared" si="151"/>
        <v>7122.5011213222624</v>
      </c>
      <c r="BT82" s="26">
        <f t="shared" ref="BT82:BY82" si="152">BT76</f>
        <v>7682.5527531965754</v>
      </c>
      <c r="BU82" s="26">
        <f t="shared" si="152"/>
        <v>7483.0567461091405</v>
      </c>
      <c r="BV82" s="26">
        <f t="shared" si="152"/>
        <v>7963.4050172932857</v>
      </c>
      <c r="BW82" s="26">
        <f t="shared" si="152"/>
        <v>7193.1816385913107</v>
      </c>
      <c r="BX82" s="26">
        <f t="shared" si="152"/>
        <v>7230.3533579550549</v>
      </c>
      <c r="BY82" s="26">
        <f t="shared" si="152"/>
        <v>6843.2626437690269</v>
      </c>
      <c r="CB82" s="26">
        <f>CB76</f>
        <v>5327.9139838404635</v>
      </c>
      <c r="CC82" s="26">
        <f>CC76</f>
        <v>6961.9389648170982</v>
      </c>
      <c r="CD82" s="26">
        <f>CD76</f>
        <v>6933.2512835035986</v>
      </c>
      <c r="CG82" s="26">
        <f t="shared" ref="CG82:CL82" si="153">CG76</f>
        <v>3831.7525653530079</v>
      </c>
      <c r="CH82" s="26">
        <f t="shared" si="153"/>
        <v>3831.7525653530079</v>
      </c>
      <c r="CI82" s="26">
        <f t="shared" si="153"/>
        <v>3831.7525653530079</v>
      </c>
      <c r="CJ82" s="26">
        <f t="shared" si="153"/>
        <v>3781.6885674164873</v>
      </c>
      <c r="CK82" s="26">
        <f t="shared" si="153"/>
        <v>3781.6885674164873</v>
      </c>
      <c r="CL82" s="26">
        <f t="shared" si="153"/>
        <v>3781.6885674164873</v>
      </c>
      <c r="CO82" s="26">
        <f>CO76</f>
        <v>4552.3333333333339</v>
      </c>
      <c r="CP82" s="26">
        <f>CP76</f>
        <v>4552.3333333333339</v>
      </c>
      <c r="CQ82" s="26">
        <f>CQ76</f>
        <v>4552.3333333333339</v>
      </c>
    </row>
    <row r="83" spans="4:95" x14ac:dyDescent="0.15">
      <c r="D83" s="25"/>
      <c r="E83" s="25"/>
      <c r="F83" s="25"/>
      <c r="G83" s="26"/>
      <c r="H83" s="25"/>
      <c r="I83" s="25"/>
      <c r="J83" s="25"/>
      <c r="K83" s="25"/>
      <c r="L83" s="25"/>
      <c r="M83" s="25"/>
      <c r="N83" s="25"/>
      <c r="O83" s="25"/>
      <c r="P83" s="25"/>
      <c r="Q83" s="25"/>
      <c r="R83" s="25"/>
      <c r="S83" s="25"/>
      <c r="T83" s="25"/>
      <c r="U83" s="25"/>
      <c r="V83" s="25"/>
      <c r="W83" s="25"/>
      <c r="X83" s="25"/>
      <c r="Y83" s="25"/>
      <c r="Z83" s="26"/>
      <c r="AA83" s="23"/>
      <c r="AB83" s="23"/>
      <c r="AC83" s="23"/>
      <c r="AD83" s="23"/>
      <c r="AE83" s="23"/>
      <c r="AG83" s="23"/>
      <c r="AH83" s="23"/>
      <c r="AI83" s="23"/>
      <c r="AJ83" s="23"/>
      <c r="AK83" s="23"/>
      <c r="AL83" s="23">
        <f>SUM(Z82:AE82)+SUM(AG82:AL82)</f>
        <v>89620.729470615042</v>
      </c>
      <c r="AM83" s="29" t="s">
        <v>36</v>
      </c>
      <c r="AN83" s="23"/>
      <c r="AO83" s="23">
        <f>SUM(AC82:AE82)+SUM(AG82:AO82)</f>
        <v>90876.393011759239</v>
      </c>
      <c r="AP83" s="29" t="s">
        <v>36</v>
      </c>
      <c r="AQ83" s="23"/>
      <c r="AR83" s="23">
        <f>SUM(AG82:AR82)</f>
        <v>88762.118204786908</v>
      </c>
      <c r="AS83" s="29" t="s">
        <v>36</v>
      </c>
      <c r="AT83" s="23"/>
      <c r="AU83" s="23"/>
      <c r="AV83" s="23">
        <f>SUM(AJ82:AR82)+SUM(AT82:AV82)</f>
        <v>87073.058621851029</v>
      </c>
      <c r="AW83" s="29" t="s">
        <v>36</v>
      </c>
      <c r="AX83" s="23"/>
      <c r="AY83" s="23">
        <f>SUM(AM82:AR82)+SUM(AT82:AY82)</f>
        <v>84497.595259605005</v>
      </c>
      <c r="AZ83" s="29" t="s">
        <v>36</v>
      </c>
      <c r="BB83" s="23">
        <f>SUM(AP82:AR82)+SUM(AT82:BB82)</f>
        <v>78467.89257348876</v>
      </c>
      <c r="BC83" s="29" t="s">
        <v>36</v>
      </c>
      <c r="BE83" s="23">
        <f>SUM(AT82:BE82)</f>
        <v>77143.567548510939</v>
      </c>
      <c r="BF83" s="29" t="s">
        <v>36</v>
      </c>
      <c r="BI83" s="23">
        <f>SUM(AW82:BE82)+SUM(BG82:BI82)</f>
        <v>76623.716906381524</v>
      </c>
      <c r="BJ83" s="29" t="s">
        <v>36</v>
      </c>
      <c r="BL83" s="23">
        <f>SUM(AZ82:BE82)+SUM(BG82:BL82)</f>
        <v>78001.10706186785</v>
      </c>
      <c r="BM83" s="29" t="s">
        <v>36</v>
      </c>
      <c r="BO83" s="23">
        <f>SUM(BC82:BE82)+SUM(BG82:BO82)</f>
        <v>78046.765430720829</v>
      </c>
      <c r="BP83" s="29" t="s">
        <v>36</v>
      </c>
      <c r="BR83" s="23">
        <f>SUM(BG82:BR82)</f>
        <v>79014.239937630467</v>
      </c>
      <c r="BS83" s="29" t="s">
        <v>36</v>
      </c>
      <c r="BV83" s="23">
        <f>SUM(BJ82:BR82)+SUM(BT82:BV82)</f>
        <v>80764.003339019691</v>
      </c>
      <c r="BW83" s="29" t="s">
        <v>36</v>
      </c>
      <c r="BY83" s="23">
        <f>SUM(BM82:BR82)+SUM(BT82:BY82)</f>
        <v>80818.095931137839</v>
      </c>
      <c r="BZ83" s="29" t="s">
        <v>36</v>
      </c>
      <c r="CB83" s="23">
        <f>SUM(BP82:BR82)+SUM(BT82:CB82)</f>
        <v>70622.4766560805</v>
      </c>
      <c r="CC83" s="29" t="s">
        <v>36</v>
      </c>
      <c r="CI83" s="23">
        <f>SUM(BW82:CE82)+SUM(CG82:CI82)</f>
        <v>51985.159568535571</v>
      </c>
      <c r="CJ83" s="29" t="s">
        <v>36</v>
      </c>
      <c r="CL83" s="23">
        <f>SUM(BZ82:CE82)+SUM(CG82:CL82)</f>
        <v>42063.427630469647</v>
      </c>
      <c r="CM83" s="29" t="s">
        <v>36</v>
      </c>
      <c r="CO83" s="23">
        <f>SUM(CC82:CE82)+SUM(CG82:CO82)</f>
        <v>41287.846979962516</v>
      </c>
      <c r="CP83" s="29" t="s">
        <v>36</v>
      </c>
    </row>
    <row r="84" spans="4:95" x14ac:dyDescent="0.15">
      <c r="D84" s="25"/>
      <c r="E84" s="25"/>
      <c r="F84" s="25"/>
      <c r="G84" s="26"/>
      <c r="H84" s="25"/>
      <c r="I84" s="25"/>
      <c r="J84" s="25"/>
      <c r="K84" s="25"/>
      <c r="L84" s="25"/>
      <c r="M84" s="25"/>
      <c r="N84" s="25"/>
      <c r="O84" s="25"/>
      <c r="P84" s="25"/>
      <c r="Q84" s="25"/>
      <c r="R84" s="25"/>
      <c r="S84" s="25"/>
      <c r="T84" s="25"/>
      <c r="U84" s="25"/>
      <c r="V84" s="25"/>
      <c r="W84" s="25"/>
      <c r="X84" s="25"/>
      <c r="Y84" s="25"/>
      <c r="Z84" s="25"/>
      <c r="AA84" s="25"/>
      <c r="AB84" s="25"/>
      <c r="AC84" s="25"/>
      <c r="AD84" s="25"/>
      <c r="AE84" s="25"/>
      <c r="AG84" s="25"/>
      <c r="AL84" s="30"/>
      <c r="AM84" s="23"/>
      <c r="AN84" s="23"/>
      <c r="AO84" s="27"/>
    </row>
    <row r="85" spans="4:95" x14ac:dyDescent="0.15">
      <c r="D85" s="25"/>
      <c r="E85" s="25"/>
      <c r="F85" s="25"/>
      <c r="G85" s="26"/>
      <c r="H85" s="25"/>
      <c r="I85" s="25"/>
      <c r="J85" s="25"/>
      <c r="K85" s="25"/>
      <c r="L85" s="25"/>
      <c r="M85" s="25"/>
      <c r="N85" s="25"/>
      <c r="O85" s="25"/>
      <c r="P85" s="25"/>
      <c r="Q85" s="25"/>
      <c r="R85" s="25"/>
      <c r="S85" s="25"/>
      <c r="T85" s="25"/>
      <c r="U85" s="25"/>
      <c r="V85" s="25"/>
      <c r="W85" s="25"/>
      <c r="X85" s="25"/>
      <c r="Y85" s="25"/>
      <c r="Z85" s="25"/>
      <c r="AA85" s="25"/>
      <c r="AB85" s="25"/>
      <c r="AC85" s="25"/>
      <c r="AD85" s="25"/>
      <c r="AE85" s="25"/>
      <c r="AG85" s="25"/>
      <c r="AL85" s="26">
        <f>SUM(Z61:AE61)+SUM(AG61:AL61)</f>
        <v>18102.004359014834</v>
      </c>
      <c r="AM85" s="29" t="s">
        <v>61</v>
      </c>
      <c r="AN85" s="23"/>
      <c r="AO85" s="27"/>
      <c r="AY85" s="26"/>
      <c r="AZ85" s="29"/>
    </row>
    <row r="86" spans="4:95" x14ac:dyDescent="0.15">
      <c r="D86" s="25"/>
      <c r="E86" s="25"/>
      <c r="F86" s="25"/>
      <c r="G86" s="26"/>
      <c r="H86" s="25"/>
      <c r="I86" s="25"/>
      <c r="J86" s="25"/>
      <c r="K86" s="25"/>
      <c r="L86" s="25"/>
      <c r="M86" s="25"/>
      <c r="N86" s="25"/>
      <c r="O86" s="25"/>
      <c r="P86" s="25"/>
      <c r="Q86" s="25"/>
      <c r="R86" s="25"/>
      <c r="S86" s="25"/>
      <c r="T86" s="25"/>
      <c r="U86" s="25"/>
      <c r="V86" s="25"/>
      <c r="W86" s="25"/>
      <c r="X86" s="25"/>
      <c r="Y86" s="25"/>
      <c r="Z86" s="25"/>
      <c r="AA86" s="25"/>
      <c r="AB86" s="25"/>
      <c r="AC86" s="25"/>
      <c r="AD86" s="25"/>
      <c r="AE86" s="25"/>
      <c r="AG86" s="25"/>
      <c r="AL86" s="26">
        <f>SUM(Z62:AE62)+SUM(AG62:AL62)</f>
        <v>33208.133504888581</v>
      </c>
      <c r="AM86" s="29" t="s">
        <v>60</v>
      </c>
      <c r="AN86" s="23"/>
      <c r="AO86" s="27"/>
      <c r="AY86" s="26"/>
      <c r="AZ86" s="29"/>
    </row>
    <row r="87" spans="4:95" x14ac:dyDescent="0.15">
      <c r="D87" s="25"/>
      <c r="E87" s="25"/>
      <c r="F87" s="25"/>
      <c r="G87" s="26"/>
      <c r="H87" s="25"/>
      <c r="I87" s="25"/>
      <c r="J87" s="25"/>
      <c r="K87" s="25"/>
      <c r="L87" s="25"/>
      <c r="M87" s="25"/>
      <c r="N87" s="25"/>
      <c r="O87" s="25"/>
      <c r="P87" s="25"/>
      <c r="Q87" s="25"/>
      <c r="R87" s="25"/>
      <c r="S87" s="25"/>
      <c r="T87" s="25"/>
      <c r="U87" s="25"/>
      <c r="V87" s="25"/>
      <c r="W87" s="25"/>
      <c r="X87" s="25"/>
      <c r="Y87" s="25"/>
      <c r="Z87" s="25"/>
      <c r="AA87" s="26"/>
      <c r="AB87" s="25"/>
      <c r="AC87" s="25"/>
      <c r="AD87" s="25"/>
      <c r="AE87" s="25"/>
      <c r="AG87" s="25"/>
      <c r="AL87" s="28"/>
      <c r="AM87" s="23"/>
      <c r="AN87" s="23"/>
      <c r="AO87" s="27"/>
    </row>
    <row r="88" spans="4:95" x14ac:dyDescent="0.15">
      <c r="D88" s="25"/>
      <c r="E88" s="25"/>
      <c r="F88" s="25"/>
      <c r="G88" s="26"/>
      <c r="H88" s="25"/>
      <c r="I88" s="25"/>
      <c r="J88" s="25"/>
      <c r="K88" s="25"/>
      <c r="L88" s="25"/>
      <c r="M88" s="25"/>
      <c r="N88" s="25"/>
      <c r="O88" s="25"/>
      <c r="P88" s="25"/>
      <c r="Q88" s="25"/>
      <c r="R88" s="25"/>
      <c r="S88" s="25"/>
      <c r="T88" s="25"/>
      <c r="U88" s="25"/>
      <c r="V88" s="25"/>
      <c r="W88" s="25"/>
      <c r="X88" s="25"/>
      <c r="Y88" s="25"/>
      <c r="Z88" s="25"/>
      <c r="AA88" s="25"/>
      <c r="AB88" s="25"/>
      <c r="AC88" s="25"/>
      <c r="AD88" s="25"/>
      <c r="AE88" s="25"/>
      <c r="AG88" s="25"/>
      <c r="AL88" s="23"/>
      <c r="AR88" s="23"/>
      <c r="AW88" s="24"/>
      <c r="AY88" s="23"/>
      <c r="AZ88" s="24"/>
      <c r="BB88" s="2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All UW 1,2 &amp; 3</vt:lpstr>
      <vt:lpstr>Data Source</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dc:creator>
  <cp:lastModifiedBy>Microsoft Office User</cp:lastModifiedBy>
  <dcterms:created xsi:type="dcterms:W3CDTF">2011-05-15T01:51:06Z</dcterms:created>
  <dcterms:modified xsi:type="dcterms:W3CDTF">2017-06-21T22:25:16Z</dcterms:modified>
</cp:coreProperties>
</file>